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ieferman\Desktop\"/>
    </mc:Choice>
  </mc:AlternateContent>
  <xr:revisionPtr revIDLastSave="0" documentId="13_ncr:1_{D6EE23ED-9895-4431-8BEB-E394C6ADCDE4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Value Calculator" sheetId="1" r:id="rId1"/>
    <sheet name="Financial Details" sheetId="4" r:id="rId2"/>
    <sheet name="Recirculating Load Calculator" sheetId="2" r:id="rId3"/>
    <sheet name="Product Type and Siz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E6" i="1"/>
  <c r="C6" i="1"/>
  <c r="A39" i="4"/>
  <c r="A1" i="4"/>
  <c r="A106" i="4"/>
  <c r="A94" i="4"/>
  <c r="A78" i="4"/>
  <c r="A77" i="4"/>
  <c r="B97" i="4"/>
  <c r="C103" i="4" s="1"/>
  <c r="D103" i="4" s="1"/>
  <c r="E103" i="4" s="1"/>
  <c r="F103" i="4" s="1"/>
  <c r="G103" i="4" s="1"/>
  <c r="B85" i="4"/>
  <c r="C88" i="4" s="1"/>
  <c r="B59" i="4"/>
  <c r="C62" i="4" s="1"/>
  <c r="D62" i="4" s="1"/>
  <c r="E62" i="4" s="1"/>
  <c r="F62" i="4" s="1"/>
  <c r="G62" i="4" s="1"/>
  <c r="A68" i="4"/>
  <c r="A56" i="4"/>
  <c r="A40" i="4"/>
  <c r="B47" i="4"/>
  <c r="A30" i="4"/>
  <c r="A18" i="4"/>
  <c r="B21" i="4"/>
  <c r="C24" i="4" s="1"/>
  <c r="D24" i="4" s="1"/>
  <c r="E24" i="4" s="1"/>
  <c r="F24" i="4" s="1"/>
  <c r="G24" i="4" s="1"/>
  <c r="B9" i="4"/>
  <c r="C12" i="4" s="1"/>
  <c r="D12" i="4" s="1"/>
  <c r="E12" i="4" s="1"/>
  <c r="F12" i="4" s="1"/>
  <c r="G12" i="4" s="1"/>
  <c r="A2" i="4"/>
  <c r="C35" i="1"/>
  <c r="E34" i="1"/>
  <c r="D34" i="1"/>
  <c r="C34" i="1"/>
  <c r="E33" i="1"/>
  <c r="D33" i="1"/>
  <c r="C33" i="1"/>
  <c r="E32" i="1"/>
  <c r="D32" i="1"/>
  <c r="C32" i="1"/>
  <c r="C100" i="4" l="1"/>
  <c r="D100" i="4" s="1"/>
  <c r="E100" i="4" s="1"/>
  <c r="F100" i="4" s="1"/>
  <c r="G100" i="4" s="1"/>
  <c r="D88" i="4"/>
  <c r="C91" i="4"/>
  <c r="D91" i="4" s="1"/>
  <c r="E91" i="4" s="1"/>
  <c r="F91" i="4" s="1"/>
  <c r="G91" i="4" s="1"/>
  <c r="B112" i="4"/>
  <c r="B74" i="4"/>
  <c r="B75" i="4" s="1"/>
  <c r="C53" i="4"/>
  <c r="D53" i="4" s="1"/>
  <c r="E53" i="4" s="1"/>
  <c r="F53" i="4" s="1"/>
  <c r="G53" i="4" s="1"/>
  <c r="C50" i="4"/>
  <c r="C65" i="4"/>
  <c r="D65" i="4" s="1"/>
  <c r="E65" i="4" s="1"/>
  <c r="F65" i="4" s="1"/>
  <c r="G65" i="4" s="1"/>
  <c r="B36" i="4"/>
  <c r="C15" i="4"/>
  <c r="D15" i="4" s="1"/>
  <c r="E15" i="4" s="1"/>
  <c r="F15" i="4" s="1"/>
  <c r="G15" i="4" s="1"/>
  <c r="C27" i="4"/>
  <c r="D27" i="4" s="1"/>
  <c r="E27" i="4" s="1"/>
  <c r="F27" i="4" s="1"/>
  <c r="G27" i="4" s="1"/>
  <c r="B113" i="4" l="1"/>
  <c r="E88" i="4"/>
  <c r="D50" i="4"/>
  <c r="B37" i="4"/>
  <c r="F88" i="4" l="1"/>
  <c r="E50" i="4"/>
  <c r="E4" i="1"/>
  <c r="D4" i="1"/>
  <c r="C4" i="1"/>
  <c r="B23" i="1"/>
  <c r="B36" i="1" s="1"/>
  <c r="B37" i="1" s="1"/>
  <c r="C90" i="4" l="1"/>
  <c r="D90" i="4" s="1"/>
  <c r="E90" i="4" s="1"/>
  <c r="F90" i="4" s="1"/>
  <c r="G90" i="4" s="1"/>
  <c r="C14" i="4"/>
  <c r="D14" i="4" s="1"/>
  <c r="E14" i="4" s="1"/>
  <c r="F14" i="4" s="1"/>
  <c r="G14" i="4" s="1"/>
  <c r="C52" i="4"/>
  <c r="D52" i="4" s="1"/>
  <c r="E52" i="4" s="1"/>
  <c r="F52" i="4" s="1"/>
  <c r="G52" i="4" s="1"/>
  <c r="G88" i="4"/>
  <c r="F50" i="4"/>
  <c r="C22" i="1"/>
  <c r="D22" i="1"/>
  <c r="E22" i="1"/>
  <c r="B22" i="1"/>
  <c r="C21" i="1"/>
  <c r="D21" i="1"/>
  <c r="E21" i="1"/>
  <c r="B21" i="1"/>
  <c r="C19" i="1"/>
  <c r="C20" i="1" s="1"/>
  <c r="D19" i="1"/>
  <c r="D20" i="1" s="1"/>
  <c r="E19" i="1"/>
  <c r="B19" i="1"/>
  <c r="B20" i="1" s="1"/>
  <c r="E16" i="1"/>
  <c r="D16" i="1"/>
  <c r="C16" i="1"/>
  <c r="E5" i="1"/>
  <c r="D5" i="1"/>
  <c r="C5" i="1"/>
  <c r="E18" i="1"/>
  <c r="D18" i="1"/>
  <c r="C18" i="1"/>
  <c r="E11" i="1"/>
  <c r="D11" i="1"/>
  <c r="C11" i="1"/>
  <c r="E13" i="1"/>
  <c r="D13" i="1"/>
  <c r="C13" i="1"/>
  <c r="D15" i="1"/>
  <c r="E15" i="1"/>
  <c r="C15" i="1"/>
  <c r="C11" i="2"/>
  <c r="B11" i="2"/>
  <c r="C10" i="2"/>
  <c r="B10" i="2"/>
  <c r="C8" i="2"/>
  <c r="C9" i="2" s="1"/>
  <c r="B8" i="2"/>
  <c r="B9" i="2" s="1"/>
  <c r="D38" i="1" l="1"/>
  <c r="C63" i="4" s="1"/>
  <c r="D63" i="4" s="1"/>
  <c r="C38" i="1"/>
  <c r="C25" i="4" s="1"/>
  <c r="D25" i="4" s="1"/>
  <c r="G50" i="4"/>
  <c r="B9" i="1"/>
  <c r="B38" i="1"/>
  <c r="E20" i="1"/>
  <c r="E7" i="1" s="1"/>
  <c r="E23" i="1" s="1"/>
  <c r="E36" i="1" s="1"/>
  <c r="E37" i="1" s="1"/>
  <c r="C102" i="4" s="1"/>
  <c r="D102" i="4" s="1"/>
  <c r="E102" i="4" s="1"/>
  <c r="F102" i="4" s="1"/>
  <c r="G102" i="4" s="1"/>
  <c r="C7" i="1"/>
  <c r="C23" i="1" s="1"/>
  <c r="C36" i="1" s="1"/>
  <c r="C37" i="1" s="1"/>
  <c r="C26" i="4" s="1"/>
  <c r="D26" i="4" s="1"/>
  <c r="E26" i="4" s="1"/>
  <c r="F26" i="4" s="1"/>
  <c r="G26" i="4" s="1"/>
  <c r="B7" i="1"/>
  <c r="D7" i="1"/>
  <c r="D23" i="1" s="1"/>
  <c r="D36" i="1" s="1"/>
  <c r="D37" i="1" s="1"/>
  <c r="C64" i="4" s="1"/>
  <c r="D64" i="4" s="1"/>
  <c r="E64" i="4" s="1"/>
  <c r="F64" i="4" s="1"/>
  <c r="G64" i="4" s="1"/>
  <c r="C13" i="4" l="1"/>
  <c r="C16" i="4" s="1"/>
  <c r="C51" i="4"/>
  <c r="C89" i="4"/>
  <c r="C66" i="4"/>
  <c r="E63" i="4"/>
  <c r="D66" i="4"/>
  <c r="C28" i="4"/>
  <c r="E25" i="4"/>
  <c r="D28" i="4"/>
  <c r="E38" i="1"/>
  <c r="C101" i="4" s="1"/>
  <c r="D13" i="4" l="1"/>
  <c r="D16" i="4" s="1"/>
  <c r="D34" i="4" s="1"/>
  <c r="D89" i="4"/>
  <c r="C92" i="4"/>
  <c r="D51" i="4"/>
  <c r="C54" i="4"/>
  <c r="C72" i="4" s="1"/>
  <c r="C73" i="4" s="1"/>
  <c r="C74" i="4" s="1"/>
  <c r="D101" i="4"/>
  <c r="C104" i="4"/>
  <c r="F63" i="4"/>
  <c r="E66" i="4"/>
  <c r="C34" i="4"/>
  <c r="C35" i="4" s="1"/>
  <c r="C36" i="4" s="1"/>
  <c r="F25" i="4"/>
  <c r="E28" i="4"/>
  <c r="E13" i="4" l="1"/>
  <c r="F13" i="4" s="1"/>
  <c r="C110" i="4"/>
  <c r="C111" i="4" s="1"/>
  <c r="C112" i="4" s="1"/>
  <c r="C113" i="4" s="1"/>
  <c r="C75" i="4"/>
  <c r="E51" i="4"/>
  <c r="D54" i="4"/>
  <c r="D72" i="4" s="1"/>
  <c r="D73" i="4" s="1"/>
  <c r="D74" i="4" s="1"/>
  <c r="C42" i="4" s="1"/>
  <c r="E89" i="4"/>
  <c r="D92" i="4"/>
  <c r="G63" i="4"/>
  <c r="G66" i="4" s="1"/>
  <c r="F66" i="4"/>
  <c r="E101" i="4"/>
  <c r="D104" i="4"/>
  <c r="G25" i="4"/>
  <c r="G28" i="4" s="1"/>
  <c r="F28" i="4"/>
  <c r="C37" i="4"/>
  <c r="D35" i="4"/>
  <c r="D36" i="4" s="1"/>
  <c r="E16" i="4" l="1"/>
  <c r="E34" i="4" s="1"/>
  <c r="D75" i="4"/>
  <c r="D110" i="4"/>
  <c r="D111" i="4" s="1"/>
  <c r="D112" i="4" s="1"/>
  <c r="C80" i="4" s="1"/>
  <c r="F89" i="4"/>
  <c r="E92" i="4"/>
  <c r="F51" i="4"/>
  <c r="E54" i="4"/>
  <c r="E72" i="4" s="1"/>
  <c r="E73" i="4" s="1"/>
  <c r="E74" i="4" s="1"/>
  <c r="F101" i="4"/>
  <c r="E104" i="4"/>
  <c r="C4" i="4"/>
  <c r="D37" i="4"/>
  <c r="E35" i="4"/>
  <c r="E36" i="4" s="1"/>
  <c r="G13" i="4"/>
  <c r="G16" i="4" s="1"/>
  <c r="G34" i="4" s="1"/>
  <c r="F16" i="4"/>
  <c r="F34" i="4" s="1"/>
  <c r="E75" i="4" l="1"/>
  <c r="D113" i="4"/>
  <c r="G51" i="4"/>
  <c r="G54" i="4" s="1"/>
  <c r="G72" i="4" s="1"/>
  <c r="G73" i="4" s="1"/>
  <c r="G74" i="4" s="1"/>
  <c r="F54" i="4"/>
  <c r="F72" i="4" s="1"/>
  <c r="F73" i="4" s="1"/>
  <c r="F74" i="4" s="1"/>
  <c r="F75" i="4" s="1"/>
  <c r="E110" i="4"/>
  <c r="E111" i="4" s="1"/>
  <c r="E112" i="4" s="1"/>
  <c r="G89" i="4"/>
  <c r="G92" i="4" s="1"/>
  <c r="F92" i="4"/>
  <c r="G101" i="4"/>
  <c r="G104" i="4" s="1"/>
  <c r="F104" i="4"/>
  <c r="E37" i="4"/>
  <c r="F35" i="4"/>
  <c r="F36" i="4" s="1"/>
  <c r="G35" i="4"/>
  <c r="G36" i="4" s="1"/>
  <c r="E113" i="4" l="1"/>
  <c r="G75" i="4"/>
  <c r="F110" i="4"/>
  <c r="F111" i="4" s="1"/>
  <c r="F112" i="4" s="1"/>
  <c r="G110" i="4"/>
  <c r="G111" i="4" s="1"/>
  <c r="G112" i="4" s="1"/>
  <c r="A42" i="4"/>
  <c r="B42" i="4"/>
  <c r="A4" i="4"/>
  <c r="F37" i="4"/>
  <c r="G37" i="4" s="1"/>
  <c r="B4" i="4"/>
  <c r="F113" i="4" l="1"/>
  <c r="G113" i="4" s="1"/>
  <c r="B80" i="4"/>
  <c r="A8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Richardson, Matt</author>
  </authors>
  <commentList>
    <comment ref="A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Richardson, Matt:</t>
        </r>
        <r>
          <rPr>
            <sz val="9"/>
            <color indexed="81"/>
            <rFont val="Tahoma"/>
            <family val="2"/>
          </rPr>
          <t xml:space="preserve">
price per ton</t>
        </r>
      </text>
    </comment>
    <comment ref="A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Richardson, Matt:</t>
        </r>
        <r>
          <rPr>
            <sz val="9"/>
            <color indexed="81"/>
            <rFont val="Tahoma"/>
            <family val="2"/>
          </rPr>
          <t xml:space="preserve">
Value of secondary market for fines or cost of mitigation per ton</t>
        </r>
      </text>
    </comment>
    <comment ref="A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Richardson, Matt:</t>
        </r>
        <r>
          <rPr>
            <sz val="9"/>
            <color indexed="81"/>
            <rFont val="Tahoma"/>
            <family val="2"/>
          </rPr>
          <t xml:space="preserve">
This ignores the overs that will go back through and provide additional yield/trash.</t>
        </r>
      </text>
    </comment>
    <comment ref="A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Richardson, Matt:</t>
        </r>
        <r>
          <rPr>
            <sz val="9"/>
            <color indexed="81"/>
            <rFont val="Tahoma"/>
            <family val="2"/>
          </rPr>
          <t xml:space="preserve">
For recirculation, fines only, if no recirculation, fines and oversize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Richardson, Matt</author>
  </authors>
  <commentList>
    <comment ref="A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Richardson, Matt:</t>
        </r>
        <r>
          <rPr>
            <sz val="9"/>
            <color indexed="81"/>
            <rFont val="Tahoma"/>
            <family val="2"/>
          </rPr>
          <t xml:space="preserve">
This ignores the overs that will go back through and provide additional yield/trash.</t>
        </r>
      </text>
    </comment>
  </commentList>
</comments>
</file>

<file path=xl/sharedStrings.xml><?xml version="1.0" encoding="utf-8"?>
<sst xmlns="http://schemas.openxmlformats.org/spreadsheetml/2006/main" count="227" uniqueCount="115">
  <si>
    <t>Existing Installation</t>
  </si>
  <si>
    <t>Oversize Rate</t>
  </si>
  <si>
    <t>Fines Rate</t>
  </si>
  <si>
    <t>Definition of Oversized</t>
  </si>
  <si>
    <t>Definition of Fines</t>
  </si>
  <si>
    <t>Annual production schedule (days per year)</t>
  </si>
  <si>
    <t>Typical wear parts</t>
  </si>
  <si>
    <t>Normal Annual Maintenance per Year (or 5 year avg)</t>
  </si>
  <si>
    <t>Repair Parts</t>
  </si>
  <si>
    <t>Labor and misc expense</t>
  </si>
  <si>
    <t>Lost Production</t>
  </si>
  <si>
    <t>Cost per KWH</t>
  </si>
  <si>
    <t>Value/Cost of Secondary Product (Fines)</t>
  </si>
  <si>
    <t>Screen recirculation?</t>
  </si>
  <si>
    <t>8 mm</t>
  </si>
  <si>
    <t>% Passing Desired Top Size (Not Overs) Single Pass</t>
  </si>
  <si>
    <t>% Fines (Non-sellable or Non-useable) Single Pass</t>
  </si>
  <si>
    <t>Imperial</t>
  </si>
  <si>
    <t>Metric</t>
  </si>
  <si>
    <t>.125 in</t>
  </si>
  <si>
    <t>New Feed Rate (stph/mtph)</t>
  </si>
  <si>
    <t>Overs Size Definition (in/mm)</t>
  </si>
  <si>
    <t>% Desired Product Obtained Single Pass</t>
  </si>
  <si>
    <t>Overall Yield %</t>
  </si>
  <si>
    <t>Overall Fines/Trash %</t>
  </si>
  <si>
    <t>Total Recirculating Load (stph/mtph)</t>
  </si>
  <si>
    <t>OUTPUTS</t>
  </si>
  <si>
    <t>INPUTS</t>
  </si>
  <si>
    <t>Unplanned Maintenance Cost Per Year (or 5 year avg)</t>
  </si>
  <si>
    <t>Solution 1</t>
  </si>
  <si>
    <t>Solution 2</t>
  </si>
  <si>
    <t>Solution 3</t>
  </si>
  <si>
    <t>Yes</t>
  </si>
  <si>
    <t>.5 in</t>
  </si>
  <si>
    <t>20M</t>
  </si>
  <si>
    <t>Value of Primary Product ($/ton)</t>
  </si>
  <si>
    <t>Average Daily Output (Tons per day) Calculated</t>
  </si>
  <si>
    <t>Average Daily Output (Tons per day) Actual</t>
  </si>
  <si>
    <t>Average Daily Feed (Tons per Day) Calculated</t>
  </si>
  <si>
    <t>Average Daily Feed (Tons per Day) Actual</t>
  </si>
  <si>
    <t>Description</t>
  </si>
  <si>
    <t>Roll Crusher</t>
  </si>
  <si>
    <t>Granulator</t>
  </si>
  <si>
    <t>Impactor</t>
  </si>
  <si>
    <t>Total Crusher Feed w/Recirculating Load (stph/mtph)</t>
  </si>
  <si>
    <t>Cone Crusher</t>
  </si>
  <si>
    <t>Size</t>
  </si>
  <si>
    <t>Product Type</t>
  </si>
  <si>
    <t>Low</t>
  </si>
  <si>
    <t>Medium</t>
  </si>
  <si>
    <t>High</t>
  </si>
  <si>
    <t>PA01 - Bradford Breakers</t>
  </si>
  <si>
    <t>PA03 - Cage Paktor</t>
  </si>
  <si>
    <t>PA04 - PCC Granulator</t>
  </si>
  <si>
    <t>PA06 - JRC Hammer mills</t>
  </si>
  <si>
    <t>PA06 - PCC Hammermill</t>
  </si>
  <si>
    <t>PA07 - Impactor, Coalpactor</t>
  </si>
  <si>
    <t>PA08 - Jaw crushers</t>
  </si>
  <si>
    <t>PA09 - Vib Feeders - Magnetic, EF, HP</t>
  </si>
  <si>
    <t>PA10 - Vib Feeders - Mech, NF, Others</t>
  </si>
  <si>
    <t>PA11 - Single and Two Roll Crushers, NanoSizers</t>
  </si>
  <si>
    <t>PA13 - Sizers</t>
  </si>
  <si>
    <t>PA14 - Posimetric Feeder</t>
  </si>
  <si>
    <t>PA15 - EDK</t>
  </si>
  <si>
    <t>PA16 - Material Handling</t>
  </si>
  <si>
    <t>PA17 - Pneumatics / ESW Feeders</t>
  </si>
  <si>
    <t>PA18 - CC2000/4000</t>
  </si>
  <si>
    <t>PA20 - Storage and Reclaim</t>
  </si>
  <si>
    <t>PA99 - Unknown / Other</t>
  </si>
  <si>
    <t>PA18 - Screening and Processing</t>
  </si>
  <si>
    <t>ADS</t>
  </si>
  <si>
    <t>Bar Screen</t>
  </si>
  <si>
    <t>Disc Screen</t>
  </si>
  <si>
    <t>Conditioner</t>
  </si>
  <si>
    <t>Annual Production Capacity</t>
  </si>
  <si>
    <t>Hours Per Day Operation</t>
  </si>
  <si>
    <t>KWH/ton material required (crusher only)</t>
  </si>
  <si>
    <t>Annual Power Cost</t>
  </si>
  <si>
    <t>Planned Capital Investment</t>
  </si>
  <si>
    <t>Operation Details</t>
  </si>
  <si>
    <t>Financial Parameters</t>
  </si>
  <si>
    <t>Discount Rate</t>
  </si>
  <si>
    <t>Tax Rate</t>
  </si>
  <si>
    <t>NPV</t>
  </si>
  <si>
    <t>IRR</t>
  </si>
  <si>
    <t>PAYBACK</t>
  </si>
  <si>
    <t>Months</t>
  </si>
  <si>
    <t>Startup</t>
  </si>
  <si>
    <t>Year 1</t>
  </si>
  <si>
    <t>Year 2</t>
  </si>
  <si>
    <t>Year 3</t>
  </si>
  <si>
    <t>Year 4</t>
  </si>
  <si>
    <t>Year 5</t>
  </si>
  <si>
    <t>Capitol Expenditures:</t>
  </si>
  <si>
    <t>Operations Summary:</t>
  </si>
  <si>
    <t xml:space="preserve">5 Yr. Cost of Capital  </t>
  </si>
  <si>
    <t xml:space="preserve">Op. and Maint. Cost (FV)  </t>
  </si>
  <si>
    <t xml:space="preserve">Depreciation  </t>
  </si>
  <si>
    <t xml:space="preserve">Grand Total Operations (FV)  </t>
  </si>
  <si>
    <t xml:space="preserve">Tax on Recovered Earnings  </t>
  </si>
  <si>
    <t xml:space="preserve">Cash Flow  </t>
  </si>
  <si>
    <t xml:space="preserve">Cumulative Cash Flow  </t>
  </si>
  <si>
    <r>
      <t>DISCOUNTED CASH FLOW ANALYSIS</t>
    </r>
    <r>
      <rPr>
        <b/>
        <vertAlign val="subscript"/>
        <sz val="12"/>
        <color indexed="63"/>
        <rFont val="Arial"/>
        <family val="2"/>
      </rPr>
      <t>1</t>
    </r>
  </si>
  <si>
    <r>
      <t xml:space="preserve">Recovered Earnings </t>
    </r>
    <r>
      <rPr>
        <b/>
        <vertAlign val="subscript"/>
        <sz val="12"/>
        <color indexed="63"/>
        <rFont val="Arial"/>
        <family val="2"/>
      </rPr>
      <t xml:space="preserve">2   </t>
    </r>
  </si>
  <si>
    <t>Annual Value of Lost Primary Product</t>
  </si>
  <si>
    <t>Total Annual Op &amp; Maint Cost</t>
  </si>
  <si>
    <t xml:space="preserve">Value of Lost Primary Product (FV)  </t>
  </si>
  <si>
    <t>Summary of Existing Installation</t>
  </si>
  <si>
    <t>Existing System Annual Growth</t>
  </si>
  <si>
    <t>Alternate System Annual Growth</t>
  </si>
  <si>
    <t>Automated Inputs</t>
  </si>
  <si>
    <t>Output Calculations</t>
  </si>
  <si>
    <t>Required Inputs</t>
  </si>
  <si>
    <t>Optional Inputs</t>
  </si>
  <si>
    <t>Intentionally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</si>
</sst>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&quot;$&quot;#,##0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21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sz val="12"/>
      <color indexed="21"/>
      <name val="Arial"/>
      <family val="2"/>
    </font>
    <font>
      <b/>
      <vertAlign val="subscript"/>
      <sz val="12"/>
      <color indexed="63"/>
      <name val="Arial"/>
      <family val="2"/>
    </font>
    <font>
      <b/>
      <u/>
      <sz val="20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u/>
      <sz val="11"/>
      <color theme="1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1"/>
      </left>
      <right/>
      <top style="thick">
        <color indexed="21"/>
      </top>
      <bottom style="medium">
        <color indexed="21"/>
      </bottom>
      <diagonal/>
    </border>
    <border>
      <left/>
      <right/>
      <top style="thick">
        <color indexed="21"/>
      </top>
      <bottom style="medium">
        <color indexed="21"/>
      </bottom>
      <diagonal/>
    </border>
    <border>
      <left/>
      <right style="thick">
        <color indexed="21"/>
      </right>
      <top style="thick">
        <color indexed="21"/>
      </top>
      <bottom style="medium">
        <color indexed="21"/>
      </bottom>
      <diagonal/>
    </border>
    <border>
      <left style="thick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ck">
        <color indexed="21"/>
      </left>
      <right style="medium">
        <color indexed="21"/>
      </right>
      <top style="medium">
        <color indexed="21"/>
      </top>
      <bottom style="thick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thick">
        <color indexed="21"/>
      </bottom>
      <diagonal/>
    </border>
    <border>
      <left style="medium">
        <color indexed="21"/>
      </left>
      <right/>
      <top style="medium">
        <color indexed="21"/>
      </top>
      <bottom style="thick">
        <color indexed="21"/>
      </bottom>
      <diagonal/>
    </border>
    <border>
      <left/>
      <right style="thick">
        <color indexed="21"/>
      </right>
      <top style="medium">
        <color indexed="21"/>
      </top>
      <bottom style="thick">
        <color indexed="21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1"/>
      </left>
      <right/>
      <top style="medium">
        <color indexed="21"/>
      </top>
      <bottom/>
      <diagonal/>
    </border>
    <border>
      <left style="medium">
        <color indexed="21"/>
      </left>
      <right/>
      <top/>
      <bottom/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medium">
        <color indexed="21"/>
      </right>
      <top/>
      <bottom/>
      <diagonal/>
    </border>
    <border>
      <left/>
      <right style="thin">
        <color indexed="21"/>
      </right>
      <top/>
      <bottom/>
      <diagonal/>
    </border>
    <border>
      <left style="medium">
        <color indexed="21"/>
      </left>
      <right/>
      <top/>
      <bottom style="medium">
        <color indexed="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23"/>
      </right>
      <top/>
      <bottom/>
      <diagonal/>
    </border>
    <border>
      <left style="medium">
        <color indexed="21"/>
      </left>
      <right/>
      <top style="medium">
        <color indexed="21"/>
      </top>
      <bottom style="medium">
        <color indexed="21"/>
      </bottom>
      <diagonal/>
    </border>
    <border>
      <left/>
      <right style="thick">
        <color indexed="21"/>
      </right>
      <top style="medium">
        <color indexed="21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1"/>
      </right>
      <top/>
      <bottom style="medium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164" fontId="6" fillId="0" borderId="0" xfId="3" applyNumberFormat="1" applyFont="1"/>
    <xf numFmtId="0" fontId="8" fillId="0" borderId="6" xfId="0" applyFont="1" applyBorder="1" applyAlignment="1">
      <alignment horizontal="center"/>
    </xf>
    <xf numFmtId="164" fontId="8" fillId="0" borderId="7" xfId="3" applyNumberFormat="1" applyFont="1" applyBorder="1" applyAlignment="1">
      <alignment horizontal="center"/>
    </xf>
    <xf numFmtId="167" fontId="8" fillId="0" borderId="8" xfId="2" applyNumberFormat="1" applyFont="1" applyBorder="1" applyAlignment="1">
      <alignment horizontal="center"/>
    </xf>
    <xf numFmtId="164" fontId="8" fillId="0" borderId="9" xfId="3" applyNumberFormat="1" applyFont="1" applyBorder="1" applyAlignment="1">
      <alignment horizontal="center"/>
    </xf>
    <xf numFmtId="168" fontId="8" fillId="0" borderId="10" xfId="1" applyNumberFormat="1" applyFont="1" applyBorder="1" applyAlignment="1">
      <alignment horizontal="right"/>
    </xf>
    <xf numFmtId="164" fontId="8" fillId="0" borderId="11" xfId="3" applyNumberFormat="1" applyFont="1" applyBorder="1"/>
    <xf numFmtId="167" fontId="8" fillId="0" borderId="0" xfId="2" applyNumberFormat="1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168" fontId="8" fillId="0" borderId="0" xfId="1" applyNumberFormat="1" applyFont="1" applyBorder="1" applyAlignment="1">
      <alignment horizontal="right"/>
    </xf>
    <xf numFmtId="164" fontId="8" fillId="0" borderId="0" xfId="3" applyNumberFormat="1" applyFont="1" applyBorder="1"/>
    <xf numFmtId="0" fontId="9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167" fontId="5" fillId="0" borderId="20" xfId="2" applyNumberFormat="1" applyFont="1" applyFill="1" applyBorder="1"/>
    <xf numFmtId="167" fontId="9" fillId="0" borderId="21" xfId="0" applyNumberFormat="1" applyFont="1" applyFill="1" applyBorder="1"/>
    <xf numFmtId="167" fontId="9" fillId="0" borderId="22" xfId="0" applyNumberFormat="1" applyFont="1" applyFill="1" applyBorder="1"/>
    <xf numFmtId="167" fontId="9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7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right"/>
    </xf>
    <xf numFmtId="167" fontId="11" fillId="0" borderId="28" xfId="2" applyNumberFormat="1" applyFont="1" applyFill="1" applyBorder="1"/>
    <xf numFmtId="167" fontId="6" fillId="0" borderId="29" xfId="0" applyNumberFormat="1" applyFont="1" applyFill="1" applyBorder="1"/>
    <xf numFmtId="167" fontId="6" fillId="0" borderId="30" xfId="0" applyNumberFormat="1" applyFont="1" applyFill="1" applyBorder="1"/>
    <xf numFmtId="167" fontId="8" fillId="0" borderId="31" xfId="0" applyNumberFormat="1" applyFont="1" applyFill="1" applyBorder="1"/>
    <xf numFmtId="167" fontId="10" fillId="0" borderId="29" xfId="0" applyNumberFormat="1" applyFont="1" applyFill="1" applyBorder="1"/>
    <xf numFmtId="167" fontId="10" fillId="0" borderId="30" xfId="0" applyNumberFormat="1" applyFont="1" applyFill="1" applyBorder="1"/>
    <xf numFmtId="167" fontId="11" fillId="0" borderId="2" xfId="0" applyNumberFormat="1" applyFont="1" applyFill="1" applyBorder="1"/>
    <xf numFmtId="167" fontId="11" fillId="0" borderId="2" xfId="2" applyNumberFormat="1" applyFont="1" applyFill="1" applyBorder="1"/>
    <xf numFmtId="167" fontId="5" fillId="0" borderId="2" xfId="0" applyNumberFormat="1" applyFont="1" applyFill="1" applyBorder="1"/>
    <xf numFmtId="167" fontId="5" fillId="0" borderId="2" xfId="2" applyNumberFormat="1" applyFont="1" applyFill="1" applyBorder="1"/>
    <xf numFmtId="5" fontId="5" fillId="0" borderId="2" xfId="1" applyNumberFormat="1" applyFont="1" applyFill="1" applyBorder="1"/>
    <xf numFmtId="5" fontId="11" fillId="0" borderId="2" xfId="1" applyNumberFormat="1" applyFont="1" applyFill="1" applyBorder="1"/>
    <xf numFmtId="0" fontId="10" fillId="0" borderId="33" xfId="0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7" fontId="5" fillId="0" borderId="0" xfId="0" applyNumberFormat="1" applyFont="1" applyFill="1" applyBorder="1"/>
    <xf numFmtId="7" fontId="5" fillId="0" borderId="40" xfId="0" applyNumberFormat="1" applyFont="1" applyFill="1" applyBorder="1"/>
    <xf numFmtId="0" fontId="5" fillId="0" borderId="39" xfId="0" applyFont="1" applyFill="1" applyBorder="1"/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wrapText="1"/>
    </xf>
    <xf numFmtId="5" fontId="5" fillId="0" borderId="44" xfId="0" applyNumberFormat="1" applyFont="1" applyFill="1" applyBorder="1"/>
    <xf numFmtId="5" fontId="5" fillId="0" borderId="0" xfId="0" applyNumberFormat="1" applyFont="1" applyFill="1" applyBorder="1"/>
    <xf numFmtId="5" fontId="5" fillId="0" borderId="36" xfId="0" applyNumberFormat="1" applyFont="1" applyFill="1" applyBorder="1"/>
    <xf numFmtId="5" fontId="5" fillId="0" borderId="44" xfId="2" applyNumberFormat="1" applyFont="1" applyFill="1" applyBorder="1"/>
    <xf numFmtId="5" fontId="5" fillId="0" borderId="0" xfId="2" applyNumberFormat="1" applyFont="1" applyFill="1" applyBorder="1"/>
    <xf numFmtId="5" fontId="9" fillId="0" borderId="44" xfId="0" applyNumberFormat="1" applyFont="1" applyFill="1" applyBorder="1"/>
    <xf numFmtId="5" fontId="9" fillId="0" borderId="0" xfId="0" applyNumberFormat="1" applyFont="1" applyFill="1" applyBorder="1"/>
    <xf numFmtId="5" fontId="9" fillId="0" borderId="40" xfId="0" applyNumberFormat="1" applyFont="1" applyFill="1" applyBorder="1"/>
    <xf numFmtId="0" fontId="9" fillId="0" borderId="45" xfId="0" applyFont="1" applyFill="1" applyBorder="1" applyAlignment="1">
      <alignment horizontal="right"/>
    </xf>
    <xf numFmtId="5" fontId="5" fillId="0" borderId="46" xfId="0" applyNumberFormat="1" applyFont="1" applyFill="1" applyBorder="1"/>
    <xf numFmtId="5" fontId="5" fillId="0" borderId="47" xfId="0" applyNumberFormat="1" applyFont="1" applyFill="1" applyBorder="1"/>
    <xf numFmtId="5" fontId="5" fillId="0" borderId="48" xfId="0" applyNumberFormat="1" applyFont="1" applyFill="1" applyBorder="1"/>
    <xf numFmtId="0" fontId="6" fillId="0" borderId="5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6" fontId="8" fillId="0" borderId="25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52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6" fontId="9" fillId="0" borderId="15" xfId="1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" fontId="14" fillId="2" borderId="2" xfId="3" applyNumberFormat="1" applyFont="1" applyFill="1" applyBorder="1" applyAlignment="1">
      <alignment horizontal="center"/>
    </xf>
    <xf numFmtId="9" fontId="14" fillId="4" borderId="2" xfId="3" applyFont="1" applyFill="1" applyBorder="1" applyAlignment="1">
      <alignment horizontal="center"/>
    </xf>
    <xf numFmtId="1" fontId="14" fillId="4" borderId="2" xfId="3" applyNumberFormat="1" applyFont="1" applyFill="1" applyBorder="1" applyAlignment="1">
      <alignment horizontal="center"/>
    </xf>
    <xf numFmtId="9" fontId="14" fillId="3" borderId="2" xfId="3" applyFont="1" applyFill="1" applyBorder="1" applyAlignment="1">
      <alignment horizontal="center"/>
    </xf>
    <xf numFmtId="44" fontId="14" fillId="3" borderId="2" xfId="2" applyFont="1" applyFill="1" applyBorder="1" applyAlignment="1">
      <alignment horizontal="center"/>
    </xf>
    <xf numFmtId="44" fontId="14" fillId="2" borderId="2" xfId="2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165" fontId="14" fillId="2" borderId="2" xfId="2" applyNumberFormat="1" applyFont="1" applyFill="1" applyBorder="1" applyAlignment="1">
      <alignment horizontal="center"/>
    </xf>
    <xf numFmtId="9" fontId="14" fillId="6" borderId="2" xfId="0" applyNumberFormat="1" applyFont="1" applyFill="1" applyBorder="1" applyAlignment="1">
      <alignment horizontal="center"/>
    </xf>
    <xf numFmtId="9" fontId="14" fillId="6" borderId="2" xfId="3" applyFont="1" applyFill="1" applyBorder="1" applyAlignment="1">
      <alignment horizontal="center"/>
    </xf>
    <xf numFmtId="1" fontId="14" fillId="6" borderId="2" xfId="0" applyNumberFormat="1" applyFont="1" applyFill="1" applyBorder="1" applyAlignment="1">
      <alignment horizontal="center"/>
    </xf>
    <xf numFmtId="1" fontId="14" fillId="6" borderId="2" xfId="2" applyNumberFormat="1" applyFont="1" applyFill="1" applyBorder="1" applyAlignment="1">
      <alignment horizontal="center"/>
    </xf>
    <xf numFmtId="9" fontId="14" fillId="2" borderId="2" xfId="3" applyFont="1" applyFill="1" applyBorder="1" applyAlignment="1">
      <alignment horizontal="center"/>
    </xf>
    <xf numFmtId="164" fontId="14" fillId="3" borderId="2" xfId="3" applyNumberFormat="1" applyFont="1" applyFill="1" applyBorder="1" applyAlignment="1">
      <alignment horizontal="center"/>
    </xf>
    <xf numFmtId="164" fontId="14" fillId="2" borderId="2" xfId="3" applyNumberFormat="1" applyFont="1" applyFill="1" applyBorder="1" applyAlignment="1">
      <alignment horizontal="center"/>
    </xf>
    <xf numFmtId="44" fontId="14" fillId="6" borderId="2" xfId="2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/>
    <xf numFmtId="0" fontId="16" fillId="0" borderId="0" xfId="0" applyFont="1" applyBorder="1" applyAlignment="1">
      <alignment horizontal="center"/>
    </xf>
    <xf numFmtId="164" fontId="14" fillId="6" borderId="2" xfId="3" applyNumberFormat="1" applyFont="1" applyFill="1" applyBorder="1" applyAlignment="1">
      <alignment horizontal="center"/>
    </xf>
    <xf numFmtId="164" fontId="14" fillId="6" borderId="2" xfId="0" applyNumberFormat="1" applyFont="1" applyFill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4" fillId="3" borderId="58" xfId="0" applyFont="1" applyFill="1" applyBorder="1" applyAlignment="1">
      <alignment horizontal="center"/>
    </xf>
    <xf numFmtId="0" fontId="14" fillId="3" borderId="59" xfId="0" applyFont="1" applyFill="1" applyBorder="1" applyAlignment="1">
      <alignment horizontal="center"/>
    </xf>
    <xf numFmtId="0" fontId="14" fillId="3" borderId="60" xfId="0" applyFont="1" applyFill="1" applyBorder="1" applyAlignment="1">
      <alignment horizontal="center"/>
    </xf>
    <xf numFmtId="0" fontId="14" fillId="4" borderId="39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4" fillId="2" borderId="62" xfId="0" applyFont="1" applyFill="1" applyBorder="1" applyAlignment="1">
      <alignment horizontal="center"/>
    </xf>
    <xf numFmtId="1" fontId="14" fillId="2" borderId="61" xfId="3" applyNumberFormat="1" applyFont="1" applyFill="1" applyBorder="1" applyAlignment="1">
      <alignment horizontal="center"/>
    </xf>
    <xf numFmtId="1" fontId="14" fillId="2" borderId="62" xfId="3" applyNumberFormat="1" applyFont="1" applyFill="1" applyBorder="1" applyAlignment="1">
      <alignment horizontal="center"/>
    </xf>
    <xf numFmtId="0" fontId="14" fillId="7" borderId="61" xfId="3" applyNumberFormat="1" applyFont="1" applyFill="1" applyBorder="1" applyAlignment="1">
      <alignment horizontal="center"/>
    </xf>
    <xf numFmtId="9" fontId="14" fillId="4" borderId="62" xfId="3" applyFont="1" applyFill="1" applyBorder="1" applyAlignment="1">
      <alignment horizontal="center"/>
    </xf>
    <xf numFmtId="1" fontId="14" fillId="4" borderId="62" xfId="3" applyNumberFormat="1" applyFont="1" applyFill="1" applyBorder="1" applyAlignment="1">
      <alignment horizontal="center"/>
    </xf>
    <xf numFmtId="9" fontId="14" fillId="3" borderId="61" xfId="3" applyFont="1" applyFill="1" applyBorder="1" applyAlignment="1">
      <alignment horizontal="center"/>
    </xf>
    <xf numFmtId="9" fontId="14" fillId="3" borderId="62" xfId="3" applyFont="1" applyFill="1" applyBorder="1" applyAlignment="1">
      <alignment horizontal="center"/>
    </xf>
    <xf numFmtId="0" fontId="14" fillId="3" borderId="62" xfId="0" applyFont="1" applyFill="1" applyBorder="1" applyAlignment="1">
      <alignment horizontal="center"/>
    </xf>
    <xf numFmtId="44" fontId="14" fillId="3" borderId="61" xfId="2" applyFont="1" applyFill="1" applyBorder="1" applyAlignment="1">
      <alignment horizontal="center"/>
    </xf>
    <xf numFmtId="44" fontId="14" fillId="2" borderId="62" xfId="2" applyFont="1" applyFill="1" applyBorder="1" applyAlignment="1">
      <alignment horizontal="center"/>
    </xf>
    <xf numFmtId="2" fontId="14" fillId="3" borderId="61" xfId="0" applyNumberFormat="1" applyFont="1" applyFill="1" applyBorder="1" applyAlignment="1">
      <alignment horizontal="center"/>
    </xf>
    <xf numFmtId="2" fontId="14" fillId="3" borderId="62" xfId="0" applyNumberFormat="1" applyFont="1" applyFill="1" applyBorder="1" applyAlignment="1">
      <alignment horizontal="center"/>
    </xf>
    <xf numFmtId="165" fontId="14" fillId="3" borderId="61" xfId="2" applyNumberFormat="1" applyFont="1" applyFill="1" applyBorder="1" applyAlignment="1">
      <alignment horizontal="center"/>
    </xf>
    <xf numFmtId="165" fontId="14" fillId="2" borderId="62" xfId="2" applyNumberFormat="1" applyFont="1" applyFill="1" applyBorder="1" applyAlignment="1">
      <alignment horizontal="center"/>
    </xf>
    <xf numFmtId="9" fontId="14" fillId="6" borderId="61" xfId="0" applyNumberFormat="1" applyFont="1" applyFill="1" applyBorder="1" applyAlignment="1">
      <alignment horizontal="center"/>
    </xf>
    <xf numFmtId="9" fontId="14" fillId="6" borderId="62" xfId="0" applyNumberFormat="1" applyFont="1" applyFill="1" applyBorder="1" applyAlignment="1">
      <alignment horizontal="center"/>
    </xf>
    <xf numFmtId="9" fontId="14" fillId="6" borderId="61" xfId="3" applyFont="1" applyFill="1" applyBorder="1" applyAlignment="1">
      <alignment horizontal="center"/>
    </xf>
    <xf numFmtId="9" fontId="14" fillId="6" borderId="62" xfId="3" applyFont="1" applyFill="1" applyBorder="1" applyAlignment="1">
      <alignment horizontal="center"/>
    </xf>
    <xf numFmtId="1" fontId="14" fillId="6" borderId="61" xfId="0" applyNumberFormat="1" applyFont="1" applyFill="1" applyBorder="1" applyAlignment="1">
      <alignment horizontal="center"/>
    </xf>
    <xf numFmtId="1" fontId="14" fillId="6" borderId="62" xfId="0" applyNumberFormat="1" applyFont="1" applyFill="1" applyBorder="1" applyAlignment="1">
      <alignment horizontal="center"/>
    </xf>
    <xf numFmtId="1" fontId="14" fillId="6" borderId="61" xfId="2" applyNumberFormat="1" applyFont="1" applyFill="1" applyBorder="1" applyAlignment="1">
      <alignment horizontal="center"/>
    </xf>
    <xf numFmtId="1" fontId="14" fillId="6" borderId="62" xfId="2" applyNumberFormat="1" applyFont="1" applyFill="1" applyBorder="1" applyAlignment="1">
      <alignment horizontal="center"/>
    </xf>
    <xf numFmtId="44" fontId="14" fillId="3" borderId="62" xfId="2" applyFont="1" applyFill="1" applyBorder="1" applyAlignment="1">
      <alignment horizontal="center"/>
    </xf>
    <xf numFmtId="44" fontId="14" fillId="4" borderId="39" xfId="2" applyFont="1" applyFill="1" applyBorder="1" applyAlignment="1">
      <alignment horizontal="center"/>
    </xf>
    <xf numFmtId="44" fontId="14" fillId="4" borderId="0" xfId="2" applyFont="1" applyFill="1" applyBorder="1" applyAlignment="1">
      <alignment horizontal="center"/>
    </xf>
    <xf numFmtId="44" fontId="14" fillId="4" borderId="40" xfId="2" applyFont="1" applyFill="1" applyBorder="1" applyAlignment="1">
      <alignment horizontal="center"/>
    </xf>
    <xf numFmtId="9" fontId="14" fillId="2" borderId="62" xfId="3" applyFont="1" applyFill="1" applyBorder="1" applyAlignment="1">
      <alignment horizontal="center"/>
    </xf>
    <xf numFmtId="164" fontId="14" fillId="3" borderId="61" xfId="3" applyNumberFormat="1" applyFont="1" applyFill="1" applyBorder="1" applyAlignment="1">
      <alignment horizontal="center"/>
    </xf>
    <xf numFmtId="164" fontId="14" fillId="2" borderId="62" xfId="3" applyNumberFormat="1" applyFont="1" applyFill="1" applyBorder="1" applyAlignment="1">
      <alignment horizontal="center"/>
    </xf>
    <xf numFmtId="164" fontId="14" fillId="3" borderId="62" xfId="3" applyNumberFormat="1" applyFont="1" applyFill="1" applyBorder="1" applyAlignment="1">
      <alignment horizontal="center"/>
    </xf>
    <xf numFmtId="44" fontId="14" fillId="6" borderId="61" xfId="2" applyFont="1" applyFill="1" applyBorder="1" applyAlignment="1">
      <alignment horizontal="center"/>
    </xf>
    <xf numFmtId="44" fontId="14" fillId="6" borderId="62" xfId="2" applyFont="1" applyFill="1" applyBorder="1" applyAlignment="1">
      <alignment horizontal="center"/>
    </xf>
    <xf numFmtId="44" fontId="14" fillId="3" borderId="63" xfId="2" applyFont="1" applyFill="1" applyBorder="1" applyAlignment="1">
      <alignment horizontal="center"/>
    </xf>
    <xf numFmtId="44" fontId="14" fillId="3" borderId="64" xfId="2" applyFont="1" applyFill="1" applyBorder="1" applyAlignment="1">
      <alignment horizontal="center"/>
    </xf>
    <xf numFmtId="44" fontId="14" fillId="3" borderId="65" xfId="2" applyFont="1" applyFill="1" applyBorder="1" applyAlignment="1">
      <alignment horizontal="center"/>
    </xf>
    <xf numFmtId="0" fontId="15" fillId="3" borderId="55" xfId="0" applyFont="1" applyFill="1" applyBorder="1"/>
    <xf numFmtId="0" fontId="15" fillId="7" borderId="56" xfId="0" applyFont="1" applyFill="1" applyBorder="1"/>
    <xf numFmtId="0" fontId="15" fillId="2" borderId="56" xfId="0" applyFont="1" applyFill="1" applyBorder="1"/>
    <xf numFmtId="0" fontId="15" fillId="6" borderId="56" xfId="0" applyFont="1" applyFill="1" applyBorder="1"/>
    <xf numFmtId="0" fontId="15" fillId="4" borderId="57" xfId="0" applyFont="1" applyFill="1" applyBorder="1"/>
    <xf numFmtId="0" fontId="15" fillId="0" borderId="0" xfId="0" applyFont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4" fillId="0" borderId="0" xfId="0" applyFont="1" applyFill="1"/>
    <xf numFmtId="166" fontId="14" fillId="0" borderId="0" xfId="1" applyNumberFormat="1" applyFont="1" applyFill="1"/>
    <xf numFmtId="0" fontId="14" fillId="5" borderId="0" xfId="0" applyFont="1" applyFill="1"/>
    <xf numFmtId="166" fontId="14" fillId="5" borderId="0" xfId="1" applyNumberFormat="1" applyFont="1" applyFill="1"/>
    <xf numFmtId="166" fontId="14" fillId="0" borderId="0" xfId="1" applyNumberFormat="1" applyFont="1"/>
    <xf numFmtId="0" fontId="14" fillId="5" borderId="0" xfId="0" applyFont="1" applyFill="1" applyAlignment="1">
      <alignment horizontal="left" inden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F7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Recapitulation</a:t>
            </a:r>
            <a:r>
              <a:rPr lang="en-US" baseline="0"/>
              <a:t> Cost Comparison of Proposed Solutions vs Current Installation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Details'!$A$1:$S$1</c:f>
              <c:strCache>
                <c:ptCount val="19"/>
                <c:pt idx="0">
                  <c:v>Solution 1 - Roll Crusher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Details'!$B$33:$G$33</c:f>
              <c:strCache>
                <c:ptCount val="6"/>
                <c:pt idx="0">
                  <c:v>Startup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</c:strCache>
            </c:strRef>
          </c:cat>
          <c:val>
            <c:numRef>
              <c:f>'Financial Details'!$B$37:$G$37</c:f>
              <c:numCache>
                <c:formatCode>"$"#,##0_);\("$"#,##0\)</c:formatCode>
                <c:ptCount val="6"/>
                <c:pt idx="0">
                  <c:v>-500000</c:v>
                </c:pt>
                <c:pt idx="1">
                  <c:v>3576287</c:v>
                </c:pt>
                <c:pt idx="2">
                  <c:v>7705444</c:v>
                </c:pt>
                <c:pt idx="3">
                  <c:v>11887999</c:v>
                </c:pt>
                <c:pt idx="4">
                  <c:v>16124486</c:v>
                </c:pt>
                <c:pt idx="5">
                  <c:v>20415446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4-4BCB-99D5-9355D4A17DD3}"/>
            </c:ext>
          </c:extLst>
        </c:ser>
        <c:ser>
          <c:idx val="1"/>
          <c:order val="1"/>
          <c:tx>
            <c:strRef>
              <c:f>'Financial Details'!$A$39:$S$39</c:f>
              <c:strCache>
                <c:ptCount val="19"/>
                <c:pt idx="0">
                  <c:v>Solution 2 - Granulator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'Financial Details'!$B$75:$G$75</c:f>
              <c:numCache>
                <c:formatCode>"$"#,##0_);\("$"#,##0\)</c:formatCode>
                <c:ptCount val="6"/>
                <c:pt idx="0">
                  <c:v>-250000</c:v>
                </c:pt>
                <c:pt idx="1">
                  <c:v>1340717</c:v>
                </c:pt>
                <c:pt idx="2">
                  <c:v>2965642</c:v>
                </c:pt>
                <c:pt idx="3">
                  <c:v>4625210</c:v>
                </c:pt>
                <c:pt idx="4">
                  <c:v>6319862</c:v>
                </c:pt>
                <c:pt idx="5">
                  <c:v>8050043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4-4BCB-99D5-9355D4A17DD3}"/>
            </c:ext>
          </c:extLst>
        </c:ser>
        <c:ser>
          <c:idx val="2"/>
          <c:order val="2"/>
          <c:tx>
            <c:strRef>
              <c:f>'Financial Details'!$A$77:$S$77</c:f>
              <c:strCache>
                <c:ptCount val="19"/>
                <c:pt idx="0">
                  <c:v>Solution 3 - Impactor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'Financial Details'!$B$113:$G$113</c:f>
              <c:numCache>
                <c:formatCode>"$"#,##0_);\("$"#,##0\)</c:formatCode>
                <c:ptCount val="6"/>
                <c:pt idx="0">
                  <c:v>-300000</c:v>
                </c:pt>
                <c:pt idx="1">
                  <c:v>2401719</c:v>
                </c:pt>
                <c:pt idx="2">
                  <c:v>5156308</c:v>
                </c:pt>
                <c:pt idx="3">
                  <c:v>7964295</c:v>
                </c:pt>
                <c:pt idx="4">
                  <c:v>10826214</c:v>
                </c:pt>
                <c:pt idx="5">
                  <c:v>13742606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84-4BCB-99D5-9355D4A17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848816"/>
        <c:axId val="674849144"/>
      </c:barChart>
      <c:catAx>
        <c:axId val="67484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849144"/>
        <c:crosses val="autoZero"/>
        <c:auto val="1"/>
        <c:lblAlgn val="ctr"/>
        <c:lblOffset val="100"/>
        <c:noMultiLvlLbl val="0"/>
      </c:catAx>
      <c:valAx>
        <c:axId val="67484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84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114</xdr:row>
      <xdr:rowOff>28576</xdr:rowOff>
    </xdr:from>
    <xdr:to>
      <xdr:col>7</xdr:col>
      <xdr:colOff>542924</xdr:colOff>
      <xdr:row>143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E974F6-EB68-448B-9EA6-0EA98F881C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A11" sqref="A11"/>
    </sheetView>
  </sheetViews>
  <sheetFormatPr defaultRowHeight="15" x14ac:dyDescent="0.25"/>
  <cols>
    <col min="1" max="1" width="59" bestFit="1" customWidth="1"/>
    <col min="2" max="2" width="24.85546875" customWidth="1"/>
    <col min="3" max="3" width="25.5703125" customWidth="1"/>
    <col min="4" max="4" width="24" customWidth="1"/>
    <col min="5" max="5" width="25.5703125" customWidth="1"/>
  </cols>
  <sheetData>
    <row r="1" spans="1:5" ht="16.5" thickBot="1" x14ac:dyDescent="0.35">
      <c r="A1" s="1"/>
      <c r="B1" s="101" t="s">
        <v>0</v>
      </c>
      <c r="C1" s="101" t="s">
        <v>29</v>
      </c>
      <c r="D1" s="101" t="s">
        <v>30</v>
      </c>
      <c r="E1" s="101" t="s">
        <v>31</v>
      </c>
    </row>
    <row r="2" spans="1:5" ht="15.75" x14ac:dyDescent="0.3">
      <c r="A2" s="126" t="s">
        <v>40</v>
      </c>
      <c r="B2" s="128" t="s">
        <v>45</v>
      </c>
      <c r="C2" s="129" t="s">
        <v>41</v>
      </c>
      <c r="D2" s="129" t="s">
        <v>42</v>
      </c>
      <c r="E2" s="130" t="s">
        <v>43</v>
      </c>
    </row>
    <row r="3" spans="1:5" ht="15.75" x14ac:dyDescent="0.3">
      <c r="A3" s="127" t="s">
        <v>79</v>
      </c>
      <c r="B3" s="131"/>
      <c r="C3" s="132"/>
      <c r="D3" s="132"/>
      <c r="E3" s="133"/>
    </row>
    <row r="4" spans="1:5" ht="15.75" x14ac:dyDescent="0.3">
      <c r="A4" s="126" t="s">
        <v>75</v>
      </c>
      <c r="B4" s="134">
        <v>20</v>
      </c>
      <c r="C4" s="103">
        <f>$B4</f>
        <v>20</v>
      </c>
      <c r="D4" s="103">
        <f t="shared" ref="D4:E4" si="0">$B4</f>
        <v>20</v>
      </c>
      <c r="E4" s="135">
        <f t="shared" si="0"/>
        <v>20</v>
      </c>
    </row>
    <row r="5" spans="1:5" ht="15.75" x14ac:dyDescent="0.3">
      <c r="A5" s="126" t="s">
        <v>5</v>
      </c>
      <c r="B5" s="134">
        <v>260</v>
      </c>
      <c r="C5" s="103">
        <f>$B5</f>
        <v>260</v>
      </c>
      <c r="D5" s="103">
        <f>$B5</f>
        <v>260</v>
      </c>
      <c r="E5" s="135">
        <f>$B5</f>
        <v>260</v>
      </c>
    </row>
    <row r="6" spans="1:5" ht="15.75" x14ac:dyDescent="0.3">
      <c r="A6" s="126" t="s">
        <v>39</v>
      </c>
      <c r="B6" s="134">
        <v>1000</v>
      </c>
      <c r="C6" s="103">
        <f>IF($B$6&gt;0,$B$6,$B$9)</f>
        <v>1000</v>
      </c>
      <c r="D6" s="103">
        <f t="shared" ref="D6:E6" si="1">IF($B$6&gt;0,$B$6,$B$9)</f>
        <v>1000</v>
      </c>
      <c r="E6" s="135">
        <f t="shared" si="1"/>
        <v>1000</v>
      </c>
    </row>
    <row r="7" spans="1:5" ht="15.75" x14ac:dyDescent="0.3">
      <c r="A7" s="126" t="s">
        <v>36</v>
      </c>
      <c r="B7" s="136">
        <f>B6*B20</f>
        <v>777.77777777777771</v>
      </c>
      <c r="C7" s="104">
        <f>C6*C20</f>
        <v>948.97959183673458</v>
      </c>
      <c r="D7" s="104">
        <f>D6*D20</f>
        <v>845.36082474226805</v>
      </c>
      <c r="E7" s="137">
        <f>E6*E20</f>
        <v>894.73684210526312</v>
      </c>
    </row>
    <row r="8" spans="1:5" ht="15.75" x14ac:dyDescent="0.3">
      <c r="A8" s="126" t="s">
        <v>37</v>
      </c>
      <c r="B8" s="138">
        <v>778</v>
      </c>
      <c r="C8" s="105"/>
      <c r="D8" s="105"/>
      <c r="E8" s="139"/>
    </row>
    <row r="9" spans="1:5" ht="15.75" x14ac:dyDescent="0.3">
      <c r="A9" s="126" t="s">
        <v>38</v>
      </c>
      <c r="B9" s="136">
        <f>B8/B20</f>
        <v>1000.2857142857144</v>
      </c>
      <c r="C9" s="106"/>
      <c r="D9" s="106"/>
      <c r="E9" s="140"/>
    </row>
    <row r="10" spans="1:5" ht="15.75" x14ac:dyDescent="0.3">
      <c r="A10" s="126" t="s">
        <v>1</v>
      </c>
      <c r="B10" s="141">
        <v>0.1</v>
      </c>
      <c r="C10" s="107">
        <v>0.02</v>
      </c>
      <c r="D10" s="107">
        <v>0.03</v>
      </c>
      <c r="E10" s="142">
        <v>0.05</v>
      </c>
    </row>
    <row r="11" spans="1:5" ht="15.75" x14ac:dyDescent="0.3">
      <c r="A11" s="126" t="s">
        <v>3</v>
      </c>
      <c r="B11" s="134" t="s">
        <v>33</v>
      </c>
      <c r="C11" s="103" t="str">
        <f>$B11</f>
        <v>.5 in</v>
      </c>
      <c r="D11" s="103" t="str">
        <f t="shared" ref="D11:E16" si="2">$B11</f>
        <v>.5 in</v>
      </c>
      <c r="E11" s="135" t="str">
        <f t="shared" si="2"/>
        <v>.5 in</v>
      </c>
    </row>
    <row r="12" spans="1:5" ht="15.75" x14ac:dyDescent="0.3">
      <c r="A12" s="126" t="s">
        <v>2</v>
      </c>
      <c r="B12" s="141">
        <v>0.2</v>
      </c>
      <c r="C12" s="107">
        <v>0.05</v>
      </c>
      <c r="D12" s="107">
        <v>0.15</v>
      </c>
      <c r="E12" s="142">
        <v>0.1</v>
      </c>
    </row>
    <row r="13" spans="1:5" ht="15.75" x14ac:dyDescent="0.3">
      <c r="A13" s="126" t="s">
        <v>4</v>
      </c>
      <c r="B13" s="134" t="s">
        <v>34</v>
      </c>
      <c r="C13" s="103" t="str">
        <f>$B13</f>
        <v>20M</v>
      </c>
      <c r="D13" s="103" t="str">
        <f t="shared" si="2"/>
        <v>20M</v>
      </c>
      <c r="E13" s="135" t="str">
        <f t="shared" si="2"/>
        <v>20M</v>
      </c>
    </row>
    <row r="14" spans="1:5" ht="15.75" x14ac:dyDescent="0.3">
      <c r="A14" s="126" t="s">
        <v>13</v>
      </c>
      <c r="B14" s="134" t="s">
        <v>32</v>
      </c>
      <c r="C14" s="102" t="s">
        <v>32</v>
      </c>
      <c r="D14" s="102" t="s">
        <v>32</v>
      </c>
      <c r="E14" s="143" t="s">
        <v>32</v>
      </c>
    </row>
    <row r="15" spans="1:5" ht="15.75" x14ac:dyDescent="0.3">
      <c r="A15" s="126" t="s">
        <v>35</v>
      </c>
      <c r="B15" s="144">
        <v>200</v>
      </c>
      <c r="C15" s="109">
        <f>$B15</f>
        <v>200</v>
      </c>
      <c r="D15" s="109">
        <f t="shared" si="2"/>
        <v>200</v>
      </c>
      <c r="E15" s="145">
        <f t="shared" si="2"/>
        <v>200</v>
      </c>
    </row>
    <row r="16" spans="1:5" ht="15.75" x14ac:dyDescent="0.3">
      <c r="A16" s="126" t="s">
        <v>12</v>
      </c>
      <c r="B16" s="144">
        <v>75</v>
      </c>
      <c r="C16" s="109">
        <f>$B16</f>
        <v>75</v>
      </c>
      <c r="D16" s="109">
        <f t="shared" si="2"/>
        <v>75</v>
      </c>
      <c r="E16" s="145">
        <f t="shared" si="2"/>
        <v>75</v>
      </c>
    </row>
    <row r="17" spans="1:5" ht="15.75" x14ac:dyDescent="0.3">
      <c r="A17" s="126" t="s">
        <v>76</v>
      </c>
      <c r="B17" s="146">
        <v>0.35</v>
      </c>
      <c r="C17" s="110">
        <v>0.2</v>
      </c>
      <c r="D17" s="110">
        <v>0.4</v>
      </c>
      <c r="E17" s="147">
        <v>0.6</v>
      </c>
    </row>
    <row r="18" spans="1:5" ht="15.75" x14ac:dyDescent="0.3">
      <c r="A18" s="126" t="s">
        <v>11</v>
      </c>
      <c r="B18" s="148">
        <v>5.5E-2</v>
      </c>
      <c r="C18" s="111">
        <f>$B18</f>
        <v>5.5E-2</v>
      </c>
      <c r="D18" s="111">
        <f t="shared" ref="D18:E18" si="3">$B18</f>
        <v>5.5E-2</v>
      </c>
      <c r="E18" s="149">
        <f t="shared" si="3"/>
        <v>5.5E-2</v>
      </c>
    </row>
    <row r="19" spans="1:5" ht="15.75" x14ac:dyDescent="0.3">
      <c r="A19" s="126" t="s">
        <v>22</v>
      </c>
      <c r="B19" s="150">
        <f>1-B10-B12</f>
        <v>0.7</v>
      </c>
      <c r="C19" s="112">
        <f>1-C10-C12</f>
        <v>0.92999999999999994</v>
      </c>
      <c r="D19" s="112">
        <f>1-D10-D12</f>
        <v>0.82</v>
      </c>
      <c r="E19" s="151">
        <f>1-E10-E12</f>
        <v>0.85</v>
      </c>
    </row>
    <row r="20" spans="1:5" ht="15.75" x14ac:dyDescent="0.3">
      <c r="A20" s="126" t="s">
        <v>23</v>
      </c>
      <c r="B20" s="152">
        <f>IF(B14="Yes",B19/(1-B10),B19)</f>
        <v>0.77777777777777768</v>
      </c>
      <c r="C20" s="113">
        <f>IF(C14="Yes",C19/(1-C10),C19)</f>
        <v>0.94897959183673464</v>
      </c>
      <c r="D20" s="113">
        <f>IF(D14="Yes",D19/(1-D10),D19)</f>
        <v>0.84536082474226804</v>
      </c>
      <c r="E20" s="153">
        <f>IF(E14="Yes",E19/(1-E10),E19)</f>
        <v>0.89473684210526316</v>
      </c>
    </row>
    <row r="21" spans="1:5" ht="15.75" x14ac:dyDescent="0.3">
      <c r="A21" s="126" t="s">
        <v>24</v>
      </c>
      <c r="B21" s="152">
        <f>IF(B14="Yes",B12/(1-B10),1-B19)</f>
        <v>0.22222222222222224</v>
      </c>
      <c r="C21" s="113">
        <f>IF(C14="Yes",C12/(1-C10),1-C19)</f>
        <v>5.1020408163265307E-2</v>
      </c>
      <c r="D21" s="113">
        <f>IF(D14="Yes",D12/(1-D10),1-D19)</f>
        <v>0.15463917525773196</v>
      </c>
      <c r="E21" s="153">
        <f>IF(E14="Yes",E12/(1-E10),1-E19)</f>
        <v>0.10526315789473685</v>
      </c>
    </row>
    <row r="22" spans="1:5" ht="15.75" x14ac:dyDescent="0.3">
      <c r="A22" s="126" t="s">
        <v>44</v>
      </c>
      <c r="B22" s="154">
        <f>IF(B14="No",IF(B6&gt;0,B6,B9),(IF(B6&gt;0,B6,B9)/(1-B10))*1.1)</f>
        <v>1222.2222222222224</v>
      </c>
      <c r="C22" s="114">
        <f>IF(C14="No",IF(C6&gt;0,C6,C9),(IF(C6&gt;0,C6,C9)/(1-C10))*1.1)</f>
        <v>1122.4489795918369</v>
      </c>
      <c r="D22" s="114">
        <f>IF(D14="No",IF(D6&gt;0,D6,D9),(IF(D6&gt;0,D6,D9)/(1-D10))*1.1)</f>
        <v>1134.0206185567013</v>
      </c>
      <c r="E22" s="155">
        <f>IF(E14="No",IF(E6&gt;0,E6,E9),(IF(E6&gt;0,E6,E9)/(1-E10))*1.1)</f>
        <v>1157.8947368421054</v>
      </c>
    </row>
    <row r="23" spans="1:5" ht="15.75" x14ac:dyDescent="0.3">
      <c r="A23" s="126" t="s">
        <v>74</v>
      </c>
      <c r="B23" s="156">
        <f>IF(B8&gt;0,B8,B7)*B5</f>
        <v>202280</v>
      </c>
      <c r="C23" s="115">
        <f>IF(C8&gt;0,C8,C7)*C5</f>
        <v>246734.69387755101</v>
      </c>
      <c r="D23" s="115">
        <f>IF(D8&gt;0,D8,D7)*D5</f>
        <v>219793.81443298969</v>
      </c>
      <c r="E23" s="157">
        <f>IF(E8&gt;0,E8,E7)*E5</f>
        <v>232631.5789473684</v>
      </c>
    </row>
    <row r="24" spans="1:5" ht="15.75" x14ac:dyDescent="0.3">
      <c r="A24" s="127" t="s">
        <v>7</v>
      </c>
      <c r="B24" s="131"/>
      <c r="C24" s="132"/>
      <c r="D24" s="132"/>
      <c r="E24" s="133"/>
    </row>
    <row r="25" spans="1:5" ht="15.75" x14ac:dyDescent="0.3">
      <c r="A25" s="126" t="s">
        <v>6</v>
      </c>
      <c r="B25" s="144">
        <v>25000</v>
      </c>
      <c r="C25" s="108">
        <v>12000</v>
      </c>
      <c r="D25" s="108">
        <v>22500</v>
      </c>
      <c r="E25" s="158">
        <v>30000</v>
      </c>
    </row>
    <row r="26" spans="1:5" ht="15.75" x14ac:dyDescent="0.3">
      <c r="A26" s="126" t="s">
        <v>9</v>
      </c>
      <c r="B26" s="144">
        <v>25000</v>
      </c>
      <c r="C26" s="108">
        <v>12000</v>
      </c>
      <c r="D26" s="108">
        <v>22500</v>
      </c>
      <c r="E26" s="158">
        <v>30000</v>
      </c>
    </row>
    <row r="27" spans="1:5" ht="15.75" x14ac:dyDescent="0.3">
      <c r="A27" s="127" t="s">
        <v>28</v>
      </c>
      <c r="B27" s="131"/>
      <c r="C27" s="132"/>
      <c r="D27" s="132"/>
      <c r="E27" s="133"/>
    </row>
    <row r="28" spans="1:5" ht="15.75" x14ac:dyDescent="0.3">
      <c r="A28" s="126" t="s">
        <v>8</v>
      </c>
      <c r="B28" s="144"/>
      <c r="C28" s="108"/>
      <c r="D28" s="108"/>
      <c r="E28" s="158"/>
    </row>
    <row r="29" spans="1:5" ht="15.75" x14ac:dyDescent="0.3">
      <c r="A29" s="126" t="s">
        <v>9</v>
      </c>
      <c r="B29" s="144"/>
      <c r="C29" s="108"/>
      <c r="D29" s="108"/>
      <c r="E29" s="158"/>
    </row>
    <row r="30" spans="1:5" ht="15.75" x14ac:dyDescent="0.3">
      <c r="A30" s="126" t="s">
        <v>10</v>
      </c>
      <c r="B30" s="144"/>
      <c r="C30" s="108"/>
      <c r="D30" s="108"/>
      <c r="E30" s="158"/>
    </row>
    <row r="31" spans="1:5" ht="15.75" x14ac:dyDescent="0.3">
      <c r="A31" s="127" t="s">
        <v>80</v>
      </c>
      <c r="B31" s="159"/>
      <c r="C31" s="160"/>
      <c r="D31" s="160"/>
      <c r="E31" s="161"/>
    </row>
    <row r="32" spans="1:5" ht="15.75" x14ac:dyDescent="0.3">
      <c r="A32" s="126" t="s">
        <v>81</v>
      </c>
      <c r="B32" s="141">
        <v>0.1</v>
      </c>
      <c r="C32" s="116">
        <f t="shared" ref="C32:E34" si="4">$B32</f>
        <v>0.1</v>
      </c>
      <c r="D32" s="116">
        <f t="shared" si="4"/>
        <v>0.1</v>
      </c>
      <c r="E32" s="162">
        <f t="shared" si="4"/>
        <v>0.1</v>
      </c>
    </row>
    <row r="33" spans="1:5" ht="15.75" x14ac:dyDescent="0.3">
      <c r="A33" s="126" t="s">
        <v>82</v>
      </c>
      <c r="B33" s="141">
        <v>0.28000000000000003</v>
      </c>
      <c r="C33" s="116">
        <f t="shared" si="4"/>
        <v>0.28000000000000003</v>
      </c>
      <c r="D33" s="116">
        <f t="shared" si="4"/>
        <v>0.28000000000000003</v>
      </c>
      <c r="E33" s="162">
        <f t="shared" si="4"/>
        <v>0.28000000000000003</v>
      </c>
    </row>
    <row r="34" spans="1:5" ht="15.75" x14ac:dyDescent="0.3">
      <c r="A34" s="126" t="s">
        <v>108</v>
      </c>
      <c r="B34" s="163">
        <v>0.01</v>
      </c>
      <c r="C34" s="118">
        <f t="shared" si="4"/>
        <v>0.01</v>
      </c>
      <c r="D34" s="118">
        <f t="shared" si="4"/>
        <v>0.01</v>
      </c>
      <c r="E34" s="164">
        <f t="shared" si="4"/>
        <v>0.01</v>
      </c>
    </row>
    <row r="35" spans="1:5" ht="15.75" x14ac:dyDescent="0.3">
      <c r="A35" s="126" t="s">
        <v>109</v>
      </c>
      <c r="B35" s="163">
        <v>0</v>
      </c>
      <c r="C35" s="117">
        <f>$B35</f>
        <v>0</v>
      </c>
      <c r="D35" s="117">
        <v>5.0000000000000001E-3</v>
      </c>
      <c r="E35" s="165">
        <v>0</v>
      </c>
    </row>
    <row r="36" spans="1:5" ht="15.75" x14ac:dyDescent="0.3">
      <c r="A36" s="127" t="s">
        <v>77</v>
      </c>
      <c r="B36" s="166">
        <f>B17*B23</f>
        <v>70798</v>
      </c>
      <c r="C36" s="119">
        <f>C17*C23</f>
        <v>49346.938775510207</v>
      </c>
      <c r="D36" s="119">
        <f>D17*D23</f>
        <v>87917.525773195885</v>
      </c>
      <c r="E36" s="167">
        <f>E17*E23</f>
        <v>139578.94736842104</v>
      </c>
    </row>
    <row r="37" spans="1:5" ht="15.75" x14ac:dyDescent="0.3">
      <c r="A37" s="127" t="s">
        <v>105</v>
      </c>
      <c r="B37" s="166">
        <f>SUM(B28:B30,B25:B26,B36)</f>
        <v>120798</v>
      </c>
      <c r="C37" s="119">
        <f t="shared" ref="C37:E37" si="5">SUM(C28:C30,C25:C26,C36)</f>
        <v>73346.938775510207</v>
      </c>
      <c r="D37" s="119">
        <f t="shared" si="5"/>
        <v>132917.5257731959</v>
      </c>
      <c r="E37" s="167">
        <f t="shared" si="5"/>
        <v>199578.94736842104</v>
      </c>
    </row>
    <row r="38" spans="1:5" ht="15.75" x14ac:dyDescent="0.3">
      <c r="A38" s="127" t="s">
        <v>104</v>
      </c>
      <c r="B38" s="166">
        <f>IF(B6&gt;0,B6,B9)*B5*(1-B20)*(B15-B16)</f>
        <v>7222222.2222222257</v>
      </c>
      <c r="C38" s="119">
        <f t="shared" ref="C38:E38" si="6">IF(C6&gt;0,C6,C9)*C5*(1-C20)*(C15-C16)</f>
        <v>1658163.2653061242</v>
      </c>
      <c r="D38" s="119">
        <f t="shared" si="6"/>
        <v>5025773.1958762892</v>
      </c>
      <c r="E38" s="167">
        <f t="shared" si="6"/>
        <v>3421052.631578947</v>
      </c>
    </row>
    <row r="39" spans="1:5" ht="16.5" thickBot="1" x14ac:dyDescent="0.35">
      <c r="A39" s="127" t="s">
        <v>78</v>
      </c>
      <c r="B39" s="168">
        <v>0</v>
      </c>
      <c r="C39" s="169">
        <v>500000</v>
      </c>
      <c r="D39" s="169">
        <v>250000</v>
      </c>
      <c r="E39" s="170">
        <v>300000</v>
      </c>
    </row>
    <row r="40" spans="1:5" x14ac:dyDescent="0.25">
      <c r="B40" s="2"/>
      <c r="C40" s="2"/>
      <c r="D40" s="2"/>
      <c r="E40" s="2"/>
    </row>
    <row r="41" spans="1:5" ht="15.75" thickBot="1" x14ac:dyDescent="0.3">
      <c r="B41" s="2"/>
      <c r="C41" s="2"/>
      <c r="D41" s="2"/>
      <c r="E41" s="2"/>
    </row>
    <row r="42" spans="1:5" ht="15.75" x14ac:dyDescent="0.3">
      <c r="A42" s="171" t="s">
        <v>112</v>
      </c>
      <c r="B42" s="2"/>
      <c r="C42" s="2"/>
      <c r="D42" s="2"/>
      <c r="E42" s="2"/>
    </row>
    <row r="43" spans="1:5" ht="15.75" x14ac:dyDescent="0.3">
      <c r="A43" s="172" t="s">
        <v>113</v>
      </c>
    </row>
    <row r="44" spans="1:5" ht="15.75" x14ac:dyDescent="0.3">
      <c r="A44" s="173" t="s">
        <v>110</v>
      </c>
    </row>
    <row r="45" spans="1:5" ht="15.75" x14ac:dyDescent="0.3">
      <c r="A45" s="174" t="s">
        <v>111</v>
      </c>
    </row>
    <row r="46" spans="1:5" ht="16.5" thickBot="1" x14ac:dyDescent="0.35">
      <c r="A46" s="175" t="s">
        <v>114</v>
      </c>
    </row>
  </sheetData>
  <dataValidations count="1">
    <dataValidation type="list" allowBlank="1" showInputMessage="1" showErrorMessage="1" sqref="B14:E14" xr:uid="{00000000-0002-0000-0000-000000000000}">
      <formula1>"Yes,No"</formula1>
    </dataValidation>
  </dataValidations>
  <pageMargins left="0.7" right="0.7" top="0.75" bottom="0.75" header="0.3" footer="0.3"/>
  <pageSetup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topLeftCell="A115" workbookViewId="0">
      <selection activeCell="C155" sqref="C155"/>
    </sheetView>
  </sheetViews>
  <sheetFormatPr defaultRowHeight="15.75" x14ac:dyDescent="0.25"/>
  <cols>
    <col min="1" max="1" width="33.5703125" style="4" customWidth="1"/>
    <col min="2" max="2" width="21" style="4" customWidth="1"/>
    <col min="3" max="7" width="18.7109375" style="4" customWidth="1"/>
    <col min="8" max="16384" width="9.140625" style="4"/>
  </cols>
  <sheetData>
    <row r="1" spans="1:19" ht="27" thickBot="1" x14ac:dyDescent="0.45">
      <c r="A1" s="73" t="str">
        <f>CONCATENATE("Solution 1 - ",'Value Calculator'!$C$2)</f>
        <v>Solution 1 - Roll Crusher</v>
      </c>
      <c r="B1" s="73"/>
      <c r="C1" s="73"/>
      <c r="D1" s="73"/>
      <c r="E1" s="73"/>
      <c r="F1" s="73"/>
      <c r="G1" s="73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7.25" customHeight="1" thickTop="1" thickBot="1" x14ac:dyDescent="0.3">
      <c r="A2" s="91" t="str">
        <f>CONCATENATE("Five Year Analysis Summary for ",'Value Calculator'!C2," Upgrade")</f>
        <v>Five Year Analysis Summary for Roll Crusher Upgrade</v>
      </c>
      <c r="B2" s="92"/>
      <c r="C2" s="92"/>
      <c r="D2" s="93"/>
      <c r="E2" s="3"/>
      <c r="F2" s="3"/>
      <c r="G2" s="5"/>
    </row>
    <row r="3" spans="1:19" ht="16.5" thickBot="1" x14ac:dyDescent="0.3">
      <c r="A3" s="6" t="s">
        <v>83</v>
      </c>
      <c r="B3" s="7" t="s">
        <v>84</v>
      </c>
      <c r="C3" s="94" t="s">
        <v>85</v>
      </c>
      <c r="D3" s="95"/>
      <c r="E3" s="3"/>
      <c r="F3" s="3"/>
      <c r="G3" s="3"/>
    </row>
    <row r="4" spans="1:19" ht="16.5" thickBot="1" x14ac:dyDescent="0.3">
      <c r="A4" s="8">
        <f>NPV('Value Calculator'!C32,C36,D36,E36,F36,G36)+B36</f>
        <v>15318583.562784458</v>
      </c>
      <c r="B4" s="9">
        <f>IRR(B36:G36,0.1)</f>
        <v>8.1654050179930433</v>
      </c>
      <c r="C4" s="10">
        <f>IF(C36-B36&gt;0,ROUNDUP((ABS(B36)/C36)*12,ROUNDUP((ABS(B36)/SUM(C36:D36))*24,1)))</f>
        <v>1.5</v>
      </c>
      <c r="D4" s="11" t="s">
        <v>86</v>
      </c>
      <c r="E4" s="3"/>
      <c r="F4" s="3"/>
      <c r="G4" s="3"/>
    </row>
    <row r="5" spans="1:19" ht="17.25" thickTop="1" thickBot="1" x14ac:dyDescent="0.3">
      <c r="A5" s="12"/>
      <c r="B5" s="13"/>
      <c r="C5" s="14"/>
      <c r="D5" s="15"/>
      <c r="E5" s="3"/>
      <c r="F5" s="3"/>
      <c r="G5" s="3"/>
    </row>
    <row r="6" spans="1:19" ht="15" customHeight="1" x14ac:dyDescent="0.25">
      <c r="A6" s="96" t="s">
        <v>107</v>
      </c>
      <c r="B6" s="97"/>
      <c r="C6" s="97"/>
      <c r="D6" s="97"/>
      <c r="E6" s="97"/>
      <c r="F6" s="97"/>
      <c r="G6" s="98"/>
    </row>
    <row r="7" spans="1:19" ht="6" customHeight="1" thickBot="1" x14ac:dyDescent="0.3">
      <c r="A7" s="16"/>
      <c r="B7" s="17"/>
      <c r="C7" s="17"/>
      <c r="D7" s="17"/>
      <c r="E7" s="17"/>
      <c r="F7" s="17"/>
      <c r="G7" s="18"/>
    </row>
    <row r="8" spans="1:19" ht="16.5" thickBot="1" x14ac:dyDescent="0.3">
      <c r="A8" s="16"/>
      <c r="B8" s="19" t="s">
        <v>87</v>
      </c>
      <c r="C8" s="20" t="s">
        <v>88</v>
      </c>
      <c r="D8" s="20" t="s">
        <v>89</v>
      </c>
      <c r="E8" s="20" t="s">
        <v>90</v>
      </c>
      <c r="F8" s="20" t="s">
        <v>91</v>
      </c>
      <c r="G8" s="21" t="s">
        <v>92</v>
      </c>
    </row>
    <row r="9" spans="1:19" x14ac:dyDescent="0.25">
      <c r="A9" s="22" t="s">
        <v>93</v>
      </c>
      <c r="B9" s="23">
        <f>ROUND(+'Value Calculator'!$B$39,0)</f>
        <v>0</v>
      </c>
      <c r="C9" s="24"/>
      <c r="D9" s="24"/>
      <c r="E9" s="24"/>
      <c r="F9" s="24"/>
      <c r="G9" s="25"/>
    </row>
    <row r="10" spans="1:19" ht="6" customHeight="1" x14ac:dyDescent="0.25">
      <c r="A10" s="22"/>
      <c r="B10" s="26"/>
      <c r="C10" s="24"/>
      <c r="D10" s="24"/>
      <c r="E10" s="24"/>
      <c r="F10" s="24"/>
      <c r="G10" s="25"/>
    </row>
    <row r="11" spans="1:19" x14ac:dyDescent="0.25">
      <c r="A11" s="83" t="s">
        <v>94</v>
      </c>
      <c r="B11" s="99"/>
      <c r="C11" s="24"/>
      <c r="D11" s="24"/>
      <c r="E11" s="24"/>
      <c r="F11" s="24"/>
      <c r="G11" s="25"/>
    </row>
    <row r="12" spans="1:19" x14ac:dyDescent="0.25">
      <c r="A12" s="83" t="s">
        <v>95</v>
      </c>
      <c r="B12" s="84"/>
      <c r="C12" s="43">
        <f>ROUND(-IPMT('Value Calculator'!$B$32,1,5,B9),0)</f>
        <v>0</v>
      </c>
      <c r="D12" s="44">
        <f>ROUND(C12*(1+'Value Calculator'!$B$34),0)</f>
        <v>0</v>
      </c>
      <c r="E12" s="44">
        <f>ROUND(D12*(1+'Value Calculator'!$B$34),0)</f>
        <v>0</v>
      </c>
      <c r="F12" s="44">
        <f>ROUND(E12*(1+'Value Calculator'!$B$34),0)</f>
        <v>0</v>
      </c>
      <c r="G12" s="44">
        <f>ROUND(F12*(1+'Value Calculator'!$B$34),0)</f>
        <v>0</v>
      </c>
    </row>
    <row r="13" spans="1:19" x14ac:dyDescent="0.25">
      <c r="A13" s="83" t="s">
        <v>106</v>
      </c>
      <c r="B13" s="84"/>
      <c r="C13" s="44">
        <f>ROUND(+'Value Calculator'!$B$38,0)</f>
        <v>7222222</v>
      </c>
      <c r="D13" s="44">
        <f>ROUND(C13*(1+'Value Calculator'!$B$34),0)</f>
        <v>7294444</v>
      </c>
      <c r="E13" s="44">
        <f>ROUND(D13*(1+'Value Calculator'!$B$34),0)</f>
        <v>7367388</v>
      </c>
      <c r="F13" s="44">
        <f>ROUND(E13*(1+'Value Calculator'!$B$34),0)</f>
        <v>7441062</v>
      </c>
      <c r="G13" s="44">
        <f>ROUND(F13*(1+'Value Calculator'!$B$34),0)</f>
        <v>7515473</v>
      </c>
    </row>
    <row r="14" spans="1:19" x14ac:dyDescent="0.25">
      <c r="A14" s="83" t="s">
        <v>96</v>
      </c>
      <c r="B14" s="84"/>
      <c r="C14" s="44">
        <f>ROUND('Value Calculator'!$B$37,0)</f>
        <v>120798</v>
      </c>
      <c r="D14" s="44">
        <f>ROUND(C14*(1+'Value Calculator'!$B$34),0)</f>
        <v>122006</v>
      </c>
      <c r="E14" s="44">
        <f>ROUND(D14*(1+'Value Calculator'!$B$34),0)</f>
        <v>123226</v>
      </c>
      <c r="F14" s="44">
        <f>ROUND(E14*(1+'Value Calculator'!$B$34),0)</f>
        <v>124458</v>
      </c>
      <c r="G14" s="44">
        <f>ROUND(F14*(1+'Value Calculator'!$B$34),0)</f>
        <v>125703</v>
      </c>
    </row>
    <row r="15" spans="1:19" x14ac:dyDescent="0.25">
      <c r="A15" s="85" t="s">
        <v>97</v>
      </c>
      <c r="B15" s="86"/>
      <c r="C15" s="45">
        <f>-ROUND(B9/5,0)</f>
        <v>0</v>
      </c>
      <c r="D15" s="45">
        <f>ROUND(C15,0)</f>
        <v>0</v>
      </c>
      <c r="E15" s="45">
        <f>ROUND(D15,0)</f>
        <v>0</v>
      </c>
      <c r="F15" s="45">
        <f>ROUND(E15,0)</f>
        <v>0</v>
      </c>
      <c r="G15" s="45">
        <f>ROUND(F15,0)</f>
        <v>0</v>
      </c>
    </row>
    <row r="16" spans="1:19" ht="16.5" thickBot="1" x14ac:dyDescent="0.3">
      <c r="A16" s="87" t="s">
        <v>98</v>
      </c>
      <c r="B16" s="88"/>
      <c r="C16" s="43">
        <f>ROUND(+C12+C13+C14+C15,0)</f>
        <v>7343020</v>
      </c>
      <c r="D16" s="43">
        <f>ROUND(+D12+D13+D14+D15,0)</f>
        <v>7416450</v>
      </c>
      <c r="E16" s="43">
        <f>ROUND(+E12+E13+E14+E15,0)</f>
        <v>7490614</v>
      </c>
      <c r="F16" s="43">
        <f>ROUND(+F12+F13+F14+F15,0)</f>
        <v>7565520</v>
      </c>
      <c r="G16" s="43">
        <f>ROUND(+G12+G13+G14+G15,0)</f>
        <v>7641176</v>
      </c>
    </row>
    <row r="17" spans="1:7" x14ac:dyDescent="0.25">
      <c r="A17" s="27"/>
      <c r="B17" s="28"/>
      <c r="C17" s="28"/>
      <c r="D17" s="28"/>
      <c r="E17" s="28"/>
      <c r="F17" s="28"/>
      <c r="G17" s="28"/>
    </row>
    <row r="18" spans="1:7" ht="15" customHeight="1" x14ac:dyDescent="0.25">
      <c r="A18" s="89" t="str">
        <f>CONCATENATE("Summary of ",'Value Calculator'!$C$2," Installation")</f>
        <v>Summary of Roll Crusher Installation</v>
      </c>
      <c r="B18" s="89"/>
      <c r="C18" s="89"/>
      <c r="D18" s="89"/>
      <c r="E18" s="89"/>
      <c r="F18" s="89"/>
      <c r="G18" s="89"/>
    </row>
    <row r="19" spans="1:7" ht="6" customHeight="1" thickBot="1" x14ac:dyDescent="0.3">
      <c r="A19" s="30"/>
      <c r="B19" s="29"/>
      <c r="C19" s="29"/>
      <c r="D19" s="29"/>
      <c r="E19" s="29"/>
      <c r="F19" s="29"/>
      <c r="G19" s="68"/>
    </row>
    <row r="20" spans="1:7" ht="16.5" thickBot="1" x14ac:dyDescent="0.3">
      <c r="A20" s="30"/>
      <c r="B20" s="31" t="s">
        <v>87</v>
      </c>
      <c r="C20" s="32" t="s">
        <v>88</v>
      </c>
      <c r="D20" s="32" t="s">
        <v>89</v>
      </c>
      <c r="E20" s="32" t="s">
        <v>90</v>
      </c>
      <c r="F20" s="32" t="s">
        <v>91</v>
      </c>
      <c r="G20" s="33" t="s">
        <v>92</v>
      </c>
    </row>
    <row r="21" spans="1:7" x14ac:dyDescent="0.25">
      <c r="A21" s="34" t="s">
        <v>93</v>
      </c>
      <c r="B21" s="35">
        <f>ROUND('Value Calculator'!$C$39,0)</f>
        <v>500000</v>
      </c>
      <c r="C21" s="36"/>
      <c r="D21" s="36"/>
      <c r="E21" s="36"/>
      <c r="F21" s="36"/>
      <c r="G21" s="37"/>
    </row>
    <row r="22" spans="1:7" x14ac:dyDescent="0.25">
      <c r="A22" s="34"/>
      <c r="B22" s="38"/>
      <c r="C22" s="39"/>
      <c r="D22" s="39"/>
      <c r="E22" s="39"/>
      <c r="F22" s="39"/>
      <c r="G22" s="40"/>
    </row>
    <row r="23" spans="1:7" x14ac:dyDescent="0.25">
      <c r="A23" s="74" t="s">
        <v>94</v>
      </c>
      <c r="B23" s="90"/>
      <c r="C23" s="39"/>
      <c r="D23" s="39"/>
      <c r="E23" s="39"/>
      <c r="F23" s="39"/>
      <c r="G23" s="40"/>
    </row>
    <row r="24" spans="1:7" x14ac:dyDescent="0.25">
      <c r="A24" s="74" t="s">
        <v>95</v>
      </c>
      <c r="B24" s="75"/>
      <c r="C24" s="41">
        <f>ROUND(-IPMT('Value Calculator'!$B$32,1,5,B21),0)</f>
        <v>50000</v>
      </c>
      <c r="D24" s="42">
        <f>ROUND(C24*(1+'Value Calculator'!$C$35),0)</f>
        <v>50000</v>
      </c>
      <c r="E24" s="42">
        <f>ROUND(D24*(1+'Value Calculator'!$C$35),0)</f>
        <v>50000</v>
      </c>
      <c r="F24" s="42">
        <f>ROUND(E24*(1+'Value Calculator'!$C$35),0)</f>
        <v>50000</v>
      </c>
      <c r="G24" s="42">
        <f>ROUND(F24*(1+'Value Calculator'!$C$35),0)</f>
        <v>50000</v>
      </c>
    </row>
    <row r="25" spans="1:7" x14ac:dyDescent="0.25">
      <c r="A25" s="74" t="s">
        <v>106</v>
      </c>
      <c r="B25" s="75"/>
      <c r="C25" s="42">
        <f>ROUND(+'Value Calculator'!$C$38,0)</f>
        <v>1658163</v>
      </c>
      <c r="D25" s="42">
        <f>ROUND(C25*(1+'Value Calculator'!$C$35),0)</f>
        <v>1658163</v>
      </c>
      <c r="E25" s="42">
        <f>ROUND(D25*(1+'Value Calculator'!$C$35),0)</f>
        <v>1658163</v>
      </c>
      <c r="F25" s="42">
        <f>ROUND(E25*(1+'Value Calculator'!$C$35),0)</f>
        <v>1658163</v>
      </c>
      <c r="G25" s="42">
        <f>ROUND(F25*(1+'Value Calculator'!$C$35),0)</f>
        <v>1658163</v>
      </c>
    </row>
    <row r="26" spans="1:7" x14ac:dyDescent="0.25">
      <c r="A26" s="74" t="s">
        <v>96</v>
      </c>
      <c r="B26" s="75"/>
      <c r="C26" s="42">
        <f>ROUND(+'Value Calculator'!$C$37,0)</f>
        <v>73347</v>
      </c>
      <c r="D26" s="42">
        <f>ROUND(C26*(1+'Value Calculator'!$C$35),0)</f>
        <v>73347</v>
      </c>
      <c r="E26" s="42">
        <f>ROUND(D26*(1+'Value Calculator'!$C$35),0)</f>
        <v>73347</v>
      </c>
      <c r="F26" s="42">
        <f>ROUND(E26*(1+'Value Calculator'!$C$35),0)</f>
        <v>73347</v>
      </c>
      <c r="G26" s="42">
        <f>ROUND(F26*(1+'Value Calculator'!$C$35),0)</f>
        <v>73347</v>
      </c>
    </row>
    <row r="27" spans="1:7" x14ac:dyDescent="0.25">
      <c r="A27" s="76" t="s">
        <v>97</v>
      </c>
      <c r="B27" s="77"/>
      <c r="C27" s="46">
        <f>-ROUND(B21/5,0)</f>
        <v>-100000</v>
      </c>
      <c r="D27" s="46">
        <f>ROUND(C27,0)</f>
        <v>-100000</v>
      </c>
      <c r="E27" s="46">
        <f>ROUND(D27,0)</f>
        <v>-100000</v>
      </c>
      <c r="F27" s="46">
        <f>ROUND(E27,0)</f>
        <v>-100000</v>
      </c>
      <c r="G27" s="46">
        <f>ROUND(F27,0)</f>
        <v>-100000</v>
      </c>
    </row>
    <row r="28" spans="1:7" ht="16.5" thickBot="1" x14ac:dyDescent="0.3">
      <c r="A28" s="78" t="s">
        <v>98</v>
      </c>
      <c r="B28" s="79"/>
      <c r="C28" s="41">
        <f>ROUND(+C24+C25+C26+C27,0)</f>
        <v>1681510</v>
      </c>
      <c r="D28" s="41">
        <f>ROUND(+D24+D25+D26+D27,0)</f>
        <v>1681510</v>
      </c>
      <c r="E28" s="41">
        <f>ROUND(+E24+E25+E26+E27,0)</f>
        <v>1681510</v>
      </c>
      <c r="F28" s="41">
        <f>ROUND(+F24+F25+F26+F27,0)</f>
        <v>1681510</v>
      </c>
      <c r="G28" s="41">
        <f>ROUND(+G24+G25+G26+G27,0)</f>
        <v>1681510</v>
      </c>
    </row>
    <row r="29" spans="1:7" ht="16.5" thickBot="1" x14ac:dyDescent="0.3">
      <c r="A29" s="47"/>
      <c r="B29" s="28"/>
      <c r="C29" s="28"/>
      <c r="D29" s="28"/>
      <c r="E29" s="28"/>
      <c r="F29" s="28"/>
      <c r="G29" s="28"/>
    </row>
    <row r="30" spans="1:7" x14ac:dyDescent="0.25">
      <c r="A30" s="80" t="str">
        <f>CONCATENATE("Recapitulation Cost Comparison of ",'Value Calculator'!C2," vs Current Installation")</f>
        <v>Recapitulation Cost Comparison of Roll Crusher vs Current Installation</v>
      </c>
      <c r="B30" s="81"/>
      <c r="C30" s="81"/>
      <c r="D30" s="81"/>
      <c r="E30" s="81"/>
      <c r="F30" s="81"/>
      <c r="G30" s="82"/>
    </row>
    <row r="31" spans="1:7" ht="18.75" x14ac:dyDescent="0.35">
      <c r="A31" s="70" t="s">
        <v>102</v>
      </c>
      <c r="B31" s="71"/>
      <c r="C31" s="71"/>
      <c r="D31" s="71"/>
      <c r="E31" s="71"/>
      <c r="F31" s="71"/>
      <c r="G31" s="72"/>
    </row>
    <row r="32" spans="1:7" ht="8.25" customHeight="1" thickBot="1" x14ac:dyDescent="0.3">
      <c r="A32" s="48"/>
      <c r="B32" s="49"/>
      <c r="C32" s="49"/>
      <c r="D32" s="49"/>
      <c r="E32" s="49"/>
      <c r="F32" s="49"/>
      <c r="G32" s="50"/>
    </row>
    <row r="33" spans="1:19" ht="16.5" thickBot="1" x14ac:dyDescent="0.3">
      <c r="A33" s="51"/>
      <c r="B33" s="52" t="s">
        <v>87</v>
      </c>
      <c r="C33" s="53" t="s">
        <v>88</v>
      </c>
      <c r="D33" s="53" t="s">
        <v>89</v>
      </c>
      <c r="E33" s="53" t="s">
        <v>90</v>
      </c>
      <c r="F33" s="53" t="s">
        <v>91</v>
      </c>
      <c r="G33" s="54" t="s">
        <v>92</v>
      </c>
    </row>
    <row r="34" spans="1:19" ht="18.75" x14ac:dyDescent="0.35">
      <c r="A34" s="55" t="s">
        <v>103</v>
      </c>
      <c r="B34" s="56"/>
      <c r="C34" s="57">
        <f>ROUND(+C16-C28,0)</f>
        <v>5661510</v>
      </c>
      <c r="D34" s="57">
        <f>ROUND(+D16-D28,0)</f>
        <v>5734940</v>
      </c>
      <c r="E34" s="57">
        <f>ROUND(+E16-E28,0)</f>
        <v>5809104</v>
      </c>
      <c r="F34" s="57">
        <f>ROUND(+F16-F28,0)</f>
        <v>5884010</v>
      </c>
      <c r="G34" s="58">
        <f>ROUND(+G16-G28,0)</f>
        <v>5959666</v>
      </c>
    </row>
    <row r="35" spans="1:19" x14ac:dyDescent="0.25">
      <c r="A35" s="48" t="s">
        <v>99</v>
      </c>
      <c r="B35" s="59"/>
      <c r="C35" s="60">
        <f>ROUND(C34*'Value Calculator'!$B$33,0)</f>
        <v>1585223</v>
      </c>
      <c r="D35" s="60">
        <f>ROUND(D34*'Value Calculator'!$B$33,0)</f>
        <v>1605783</v>
      </c>
      <c r="E35" s="60">
        <f>ROUND(E34*'Value Calculator'!$B$33,0)</f>
        <v>1626549</v>
      </c>
      <c r="F35" s="60">
        <f>ROUND(F34*'Value Calculator'!$B$33,0)</f>
        <v>1647523</v>
      </c>
      <c r="G35" s="60">
        <f>ROUND(G34*'Value Calculator'!$B$33,0)</f>
        <v>1668706</v>
      </c>
    </row>
    <row r="36" spans="1:19" x14ac:dyDescent="0.25">
      <c r="A36" s="48" t="s">
        <v>100</v>
      </c>
      <c r="B36" s="61">
        <f>ROUND(+B9-B21,0)</f>
        <v>-500000</v>
      </c>
      <c r="C36" s="62">
        <f>ROUND(+C34-C35,0)</f>
        <v>4076287</v>
      </c>
      <c r="D36" s="62">
        <f>ROUND(+D34-D35,0)</f>
        <v>4129157</v>
      </c>
      <c r="E36" s="62">
        <f>ROUND(+E34-E35,0)</f>
        <v>4182555</v>
      </c>
      <c r="F36" s="62">
        <f>ROUND(+F34-F35,0)</f>
        <v>4236487</v>
      </c>
      <c r="G36" s="63">
        <f>ROUND(+G34-G35,0)</f>
        <v>4290960</v>
      </c>
    </row>
    <row r="37" spans="1:19" ht="16.5" thickBot="1" x14ac:dyDescent="0.3">
      <c r="A37" s="64" t="s">
        <v>101</v>
      </c>
      <c r="B37" s="65">
        <f>ROUND(B36,0)</f>
        <v>-500000</v>
      </c>
      <c r="C37" s="66">
        <f>ROUND(+B37+C36,0)</f>
        <v>3576287</v>
      </c>
      <c r="D37" s="66">
        <f>ROUND(+C37+D36,0)</f>
        <v>7705444</v>
      </c>
      <c r="E37" s="66">
        <f>ROUND(+D37+E36,0)</f>
        <v>11887999</v>
      </c>
      <c r="F37" s="66">
        <f>ROUND(+E37+F36,0)</f>
        <v>16124486</v>
      </c>
      <c r="G37" s="67">
        <f>ROUND(+F37+G36,0)</f>
        <v>20415446</v>
      </c>
    </row>
    <row r="38" spans="1:19" x14ac:dyDescent="0.25">
      <c r="A38" s="27"/>
      <c r="B38" s="28"/>
      <c r="C38" s="28"/>
      <c r="D38" s="28"/>
      <c r="E38" s="28"/>
      <c r="F38" s="28"/>
      <c r="G38" s="28"/>
    </row>
    <row r="39" spans="1:19" ht="27" thickBot="1" x14ac:dyDescent="0.45">
      <c r="A39" s="73" t="str">
        <f>CONCATENATE("Solution 2 - ",'Value Calculator'!$D$2)</f>
        <v>Solution 2 - Granulator</v>
      </c>
      <c r="B39" s="73"/>
      <c r="C39" s="73"/>
      <c r="D39" s="73"/>
      <c r="E39" s="73"/>
      <c r="F39" s="73"/>
      <c r="G39" s="73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1:19" ht="17.25" thickTop="1" thickBot="1" x14ac:dyDescent="0.3">
      <c r="A40" s="91" t="str">
        <f>CONCATENATE("Five Year Analysis Summary for ",'Value Calculator'!$D$2," Upgrade")</f>
        <v>Five Year Analysis Summary for Granulator Upgrade</v>
      </c>
      <c r="B40" s="92"/>
      <c r="C40" s="92"/>
      <c r="D40" s="93"/>
      <c r="E40" s="3"/>
      <c r="F40" s="3"/>
      <c r="G40" s="5"/>
    </row>
    <row r="41" spans="1:19" ht="16.5" thickBot="1" x14ac:dyDescent="0.3">
      <c r="A41" s="6" t="s">
        <v>83</v>
      </c>
      <c r="B41" s="7" t="s">
        <v>84</v>
      </c>
      <c r="C41" s="94" t="s">
        <v>85</v>
      </c>
      <c r="D41" s="95"/>
      <c r="E41" s="3"/>
      <c r="F41" s="3"/>
      <c r="G41" s="3"/>
    </row>
    <row r="42" spans="1:19" ht="16.5" thickBot="1" x14ac:dyDescent="0.3">
      <c r="A42" s="8">
        <f>NPV('Value Calculator'!C70,C74,D74,E74,F74,G74)+B74</f>
        <v>8050043</v>
      </c>
      <c r="B42" s="9">
        <f>IRR(B74:G74,0.1)</f>
        <v>6.3840214226897958</v>
      </c>
      <c r="C42" s="10">
        <f>IF(C74-B74&gt;0,ROUNDUP((ABS(B74)/C74)*12,ROUNDUP((ABS(B74)/SUM(C74:D74))*24,1)))</f>
        <v>1.9000000000000001</v>
      </c>
      <c r="D42" s="11" t="s">
        <v>86</v>
      </c>
      <c r="E42" s="3"/>
      <c r="F42" s="3"/>
      <c r="G42" s="3"/>
    </row>
    <row r="43" spans="1:19" ht="17.25" thickTop="1" thickBot="1" x14ac:dyDescent="0.3">
      <c r="A43" s="12"/>
      <c r="B43" s="13"/>
      <c r="C43" s="14"/>
      <c r="D43" s="15"/>
      <c r="E43" s="3"/>
      <c r="F43" s="3"/>
      <c r="G43" s="3"/>
    </row>
    <row r="44" spans="1:19" x14ac:dyDescent="0.25">
      <c r="A44" s="96" t="s">
        <v>107</v>
      </c>
      <c r="B44" s="97"/>
      <c r="C44" s="97"/>
      <c r="D44" s="97"/>
      <c r="E44" s="97"/>
      <c r="F44" s="97"/>
      <c r="G44" s="98"/>
    </row>
    <row r="45" spans="1:19" ht="16.5" thickBot="1" x14ac:dyDescent="0.3">
      <c r="A45" s="16"/>
      <c r="B45" s="17"/>
      <c r="C45" s="17"/>
      <c r="D45" s="17"/>
      <c r="E45" s="17"/>
      <c r="F45" s="17"/>
      <c r="G45" s="18"/>
    </row>
    <row r="46" spans="1:19" ht="16.5" thickBot="1" x14ac:dyDescent="0.3">
      <c r="A46" s="16"/>
      <c r="B46" s="19" t="s">
        <v>87</v>
      </c>
      <c r="C46" s="20" t="s">
        <v>88</v>
      </c>
      <c r="D46" s="20" t="s">
        <v>89</v>
      </c>
      <c r="E46" s="20" t="s">
        <v>90</v>
      </c>
      <c r="F46" s="20" t="s">
        <v>91</v>
      </c>
      <c r="G46" s="21" t="s">
        <v>92</v>
      </c>
    </row>
    <row r="47" spans="1:19" x14ac:dyDescent="0.25">
      <c r="A47" s="22" t="s">
        <v>93</v>
      </c>
      <c r="B47" s="23">
        <f>ROUND(+'Value Calculator'!$B$39,0)</f>
        <v>0</v>
      </c>
      <c r="C47" s="24"/>
      <c r="D47" s="24"/>
      <c r="E47" s="24"/>
      <c r="F47" s="24"/>
      <c r="G47" s="25"/>
    </row>
    <row r="48" spans="1:19" x14ac:dyDescent="0.25">
      <c r="A48" s="22"/>
      <c r="B48" s="26"/>
      <c r="C48" s="24"/>
      <c r="D48" s="24"/>
      <c r="E48" s="24"/>
      <c r="F48" s="24"/>
      <c r="G48" s="25"/>
    </row>
    <row r="49" spans="1:7" x14ac:dyDescent="0.25">
      <c r="A49" s="83" t="s">
        <v>94</v>
      </c>
      <c r="B49" s="99"/>
      <c r="C49" s="24"/>
      <c r="D49" s="24"/>
      <c r="E49" s="24"/>
      <c r="F49" s="24"/>
      <c r="G49" s="25"/>
    </row>
    <row r="50" spans="1:7" x14ac:dyDescent="0.25">
      <c r="A50" s="83" t="s">
        <v>95</v>
      </c>
      <c r="B50" s="84"/>
      <c r="C50" s="43">
        <f>ROUND(-IPMT('Value Calculator'!$B$32,1,5,B47),0)</f>
        <v>0</v>
      </c>
      <c r="D50" s="44">
        <f>ROUND(C50*(1+'Value Calculator'!$B$34),0)</f>
        <v>0</v>
      </c>
      <c r="E50" s="44">
        <f>ROUND(D50*(1+'Value Calculator'!$B$34),0)</f>
        <v>0</v>
      </c>
      <c r="F50" s="44">
        <f>ROUND(E50*(1+'Value Calculator'!$B$34),0)</f>
        <v>0</v>
      </c>
      <c r="G50" s="44">
        <f>ROUND(F50*(1+'Value Calculator'!$B$34),0)</f>
        <v>0</v>
      </c>
    </row>
    <row r="51" spans="1:7" x14ac:dyDescent="0.25">
      <c r="A51" s="83" t="s">
        <v>106</v>
      </c>
      <c r="B51" s="84"/>
      <c r="C51" s="44">
        <f>ROUND(+'Value Calculator'!$B$38,0)</f>
        <v>7222222</v>
      </c>
      <c r="D51" s="44">
        <f>ROUND(C51*(1+'Value Calculator'!$B$34),0)</f>
        <v>7294444</v>
      </c>
      <c r="E51" s="44">
        <f>ROUND(D51*(1+'Value Calculator'!$B$34),0)</f>
        <v>7367388</v>
      </c>
      <c r="F51" s="44">
        <f>ROUND(E51*(1+'Value Calculator'!$B$34),0)</f>
        <v>7441062</v>
      </c>
      <c r="G51" s="44">
        <f>ROUND(F51*(1+'Value Calculator'!$B$34),0)</f>
        <v>7515473</v>
      </c>
    </row>
    <row r="52" spans="1:7" x14ac:dyDescent="0.25">
      <c r="A52" s="83" t="s">
        <v>96</v>
      </c>
      <c r="B52" s="84"/>
      <c r="C52" s="44">
        <f>ROUND('Value Calculator'!$B$37,0)</f>
        <v>120798</v>
      </c>
      <c r="D52" s="44">
        <f>ROUND(C52*(1+'Value Calculator'!$B$34),0)</f>
        <v>122006</v>
      </c>
      <c r="E52" s="44">
        <f>ROUND(D52*(1+'Value Calculator'!$B$34),0)</f>
        <v>123226</v>
      </c>
      <c r="F52" s="44">
        <f>ROUND(E52*(1+'Value Calculator'!$B$34),0)</f>
        <v>124458</v>
      </c>
      <c r="G52" s="44">
        <f>ROUND(F52*(1+'Value Calculator'!$B$34),0)</f>
        <v>125703</v>
      </c>
    </row>
    <row r="53" spans="1:7" x14ac:dyDescent="0.25">
      <c r="A53" s="85" t="s">
        <v>97</v>
      </c>
      <c r="B53" s="86"/>
      <c r="C53" s="45">
        <f>-ROUND(B47/5,0)</f>
        <v>0</v>
      </c>
      <c r="D53" s="45">
        <f>ROUND(C53,0)</f>
        <v>0</v>
      </c>
      <c r="E53" s="45">
        <f>ROUND(D53,0)</f>
        <v>0</v>
      </c>
      <c r="F53" s="45">
        <f>ROUND(E53,0)</f>
        <v>0</v>
      </c>
      <c r="G53" s="45">
        <f>ROUND(F53,0)</f>
        <v>0</v>
      </c>
    </row>
    <row r="54" spans="1:7" ht="16.5" thickBot="1" x14ac:dyDescent="0.3">
      <c r="A54" s="87" t="s">
        <v>98</v>
      </c>
      <c r="B54" s="88"/>
      <c r="C54" s="43">
        <f>ROUND(+C50+C51+C52+C53,0)</f>
        <v>7343020</v>
      </c>
      <c r="D54" s="43">
        <f>ROUND(+D50+D51+D52+D53,0)</f>
        <v>7416450</v>
      </c>
      <c r="E54" s="43">
        <f>ROUND(+E50+E51+E52+E53,0)</f>
        <v>7490614</v>
      </c>
      <c r="F54" s="43">
        <f>ROUND(+F50+F51+F52+F53,0)</f>
        <v>7565520</v>
      </c>
      <c r="G54" s="43">
        <f>ROUND(+G50+G51+G52+G53,0)</f>
        <v>7641176</v>
      </c>
    </row>
    <row r="55" spans="1:7" x14ac:dyDescent="0.25">
      <c r="A55" s="27"/>
      <c r="B55" s="28"/>
      <c r="C55" s="28"/>
      <c r="D55" s="28"/>
      <c r="E55" s="28"/>
      <c r="F55" s="28"/>
      <c r="G55" s="28"/>
    </row>
    <row r="56" spans="1:7" x14ac:dyDescent="0.25">
      <c r="A56" s="89" t="str">
        <f>CONCATENATE("Summary of ",'Value Calculator'!$D$2," Installation")</f>
        <v>Summary of Granulator Installation</v>
      </c>
      <c r="B56" s="89"/>
      <c r="C56" s="89"/>
      <c r="D56" s="89"/>
      <c r="E56" s="89"/>
      <c r="F56" s="89"/>
      <c r="G56" s="89"/>
    </row>
    <row r="57" spans="1:7" ht="16.5" thickBot="1" x14ac:dyDescent="0.3">
      <c r="A57" s="30"/>
      <c r="B57" s="29"/>
      <c r="C57" s="29"/>
      <c r="D57" s="29"/>
      <c r="E57" s="29"/>
      <c r="F57" s="29"/>
      <c r="G57" s="68"/>
    </row>
    <row r="58" spans="1:7" ht="16.5" thickBot="1" x14ac:dyDescent="0.3">
      <c r="A58" s="30"/>
      <c r="B58" s="31" t="s">
        <v>87</v>
      </c>
      <c r="C58" s="32" t="s">
        <v>88</v>
      </c>
      <c r="D58" s="32" t="s">
        <v>89</v>
      </c>
      <c r="E58" s="32" t="s">
        <v>90</v>
      </c>
      <c r="F58" s="32" t="s">
        <v>91</v>
      </c>
      <c r="G58" s="33" t="s">
        <v>92</v>
      </c>
    </row>
    <row r="59" spans="1:7" x14ac:dyDescent="0.25">
      <c r="A59" s="34" t="s">
        <v>93</v>
      </c>
      <c r="B59" s="35">
        <f>ROUND('Value Calculator'!$D$39,0)</f>
        <v>250000</v>
      </c>
      <c r="C59" s="36"/>
      <c r="D59" s="36"/>
      <c r="E59" s="36"/>
      <c r="F59" s="36"/>
      <c r="G59" s="37"/>
    </row>
    <row r="60" spans="1:7" x14ac:dyDescent="0.25">
      <c r="A60" s="34"/>
      <c r="B60" s="38"/>
      <c r="C60" s="39"/>
      <c r="D60" s="39"/>
      <c r="E60" s="39"/>
      <c r="F60" s="39"/>
      <c r="G60" s="40"/>
    </row>
    <row r="61" spans="1:7" x14ac:dyDescent="0.25">
      <c r="A61" s="74" t="s">
        <v>94</v>
      </c>
      <c r="B61" s="90"/>
      <c r="C61" s="39"/>
      <c r="D61" s="39"/>
      <c r="E61" s="39"/>
      <c r="F61" s="39"/>
      <c r="G61" s="40"/>
    </row>
    <row r="62" spans="1:7" x14ac:dyDescent="0.25">
      <c r="A62" s="74" t="s">
        <v>95</v>
      </c>
      <c r="B62" s="75"/>
      <c r="C62" s="41">
        <f>ROUND(-IPMT('Value Calculator'!$B$32,1,5,B59),0)</f>
        <v>25000</v>
      </c>
      <c r="D62" s="42">
        <f>ROUND(C62*(1+'Value Calculator'!$D$35),0)</f>
        <v>25125</v>
      </c>
      <c r="E62" s="42">
        <f>ROUND(D62*(1+'Value Calculator'!$D$35),0)</f>
        <v>25251</v>
      </c>
      <c r="F62" s="42">
        <f>ROUND(E62*(1+'Value Calculator'!$D$35),0)</f>
        <v>25377</v>
      </c>
      <c r="G62" s="42">
        <f>ROUND(F62*(1+'Value Calculator'!$D$35),0)</f>
        <v>25504</v>
      </c>
    </row>
    <row r="63" spans="1:7" x14ac:dyDescent="0.25">
      <c r="A63" s="74" t="s">
        <v>106</v>
      </c>
      <c r="B63" s="75"/>
      <c r="C63" s="42">
        <f>ROUND(+'Value Calculator'!$D$38,0)</f>
        <v>5025773</v>
      </c>
      <c r="D63" s="42">
        <f>ROUND(C63*(1+'Value Calculator'!$D$35),0)</f>
        <v>5050902</v>
      </c>
      <c r="E63" s="42">
        <f>ROUND(D63*(1+'Value Calculator'!$D$35),0)</f>
        <v>5076157</v>
      </c>
      <c r="F63" s="42">
        <f>ROUND(E63*(1+'Value Calculator'!$D$35),0)</f>
        <v>5101538</v>
      </c>
      <c r="G63" s="42">
        <f>ROUND(F63*(1+'Value Calculator'!$D$35),0)</f>
        <v>5127046</v>
      </c>
    </row>
    <row r="64" spans="1:7" x14ac:dyDescent="0.25">
      <c r="A64" s="74" t="s">
        <v>96</v>
      </c>
      <c r="B64" s="75"/>
      <c r="C64" s="42">
        <f>ROUND(+'Value Calculator'!$D$37,0)</f>
        <v>132918</v>
      </c>
      <c r="D64" s="42">
        <f>ROUND(C64*(1+'Value Calculator'!$D$35),0)</f>
        <v>133583</v>
      </c>
      <c r="E64" s="42">
        <f>ROUND(D64*(1+'Value Calculator'!$D$35),0)</f>
        <v>134251</v>
      </c>
      <c r="F64" s="42">
        <f>ROUND(E64*(1+'Value Calculator'!$D$35),0)</f>
        <v>134922</v>
      </c>
      <c r="G64" s="42">
        <f>ROUND(F64*(1+'Value Calculator'!$D$35),0)</f>
        <v>135597</v>
      </c>
    </row>
    <row r="65" spans="1:19" x14ac:dyDescent="0.25">
      <c r="A65" s="76" t="s">
        <v>97</v>
      </c>
      <c r="B65" s="77"/>
      <c r="C65" s="46">
        <f>-ROUND(B59/5,0)</f>
        <v>-50000</v>
      </c>
      <c r="D65" s="46">
        <f>ROUND(C65,0)</f>
        <v>-50000</v>
      </c>
      <c r="E65" s="46">
        <f>ROUND(D65,0)</f>
        <v>-50000</v>
      </c>
      <c r="F65" s="46">
        <f>ROUND(E65,0)</f>
        <v>-50000</v>
      </c>
      <c r="G65" s="46">
        <f>ROUND(F65,0)</f>
        <v>-50000</v>
      </c>
    </row>
    <row r="66" spans="1:19" ht="16.5" thickBot="1" x14ac:dyDescent="0.3">
      <c r="A66" s="78" t="s">
        <v>98</v>
      </c>
      <c r="B66" s="79"/>
      <c r="C66" s="41">
        <f>ROUND(+C62+C63+C64+C65,0)</f>
        <v>5133691</v>
      </c>
      <c r="D66" s="41">
        <f>ROUND(+D62+D63+D64+D65,0)</f>
        <v>5159610</v>
      </c>
      <c r="E66" s="41">
        <f>ROUND(+E62+E63+E64+E65,0)</f>
        <v>5185659</v>
      </c>
      <c r="F66" s="41">
        <f>ROUND(+F62+F63+F64+F65,0)</f>
        <v>5211837</v>
      </c>
      <c r="G66" s="41">
        <f>ROUND(+G62+G63+G64+G65,0)</f>
        <v>5238147</v>
      </c>
    </row>
    <row r="67" spans="1:19" ht="16.5" thickBot="1" x14ac:dyDescent="0.3">
      <c r="A67" s="47"/>
      <c r="B67" s="28"/>
      <c r="C67" s="28"/>
      <c r="D67" s="28"/>
      <c r="E67" s="28"/>
      <c r="F67" s="28"/>
      <c r="G67" s="28"/>
    </row>
    <row r="68" spans="1:19" x14ac:dyDescent="0.25">
      <c r="A68" s="80" t="str">
        <f>CONCATENATE("Recapitulation Cost Comparison of ",'Value Calculator'!$D$2," vs Current Installation")</f>
        <v>Recapitulation Cost Comparison of Granulator vs Current Installation</v>
      </c>
      <c r="B68" s="81"/>
      <c r="C68" s="81"/>
      <c r="D68" s="81"/>
      <c r="E68" s="81"/>
      <c r="F68" s="81"/>
      <c r="G68" s="82"/>
    </row>
    <row r="69" spans="1:19" ht="18.75" x14ac:dyDescent="0.35">
      <c r="A69" s="70" t="s">
        <v>102</v>
      </c>
      <c r="B69" s="71"/>
      <c r="C69" s="71"/>
      <c r="D69" s="71"/>
      <c r="E69" s="71"/>
      <c r="F69" s="71"/>
      <c r="G69" s="72"/>
    </row>
    <row r="70" spans="1:19" ht="16.5" thickBot="1" x14ac:dyDescent="0.3">
      <c r="A70" s="48"/>
      <c r="B70" s="49"/>
      <c r="C70" s="49"/>
      <c r="D70" s="49"/>
      <c r="E70" s="49"/>
      <c r="F70" s="49"/>
      <c r="G70" s="50"/>
    </row>
    <row r="71" spans="1:19" ht="16.5" thickBot="1" x14ac:dyDescent="0.3">
      <c r="A71" s="51"/>
      <c r="B71" s="52" t="s">
        <v>87</v>
      </c>
      <c r="C71" s="53" t="s">
        <v>88</v>
      </c>
      <c r="D71" s="53" t="s">
        <v>89</v>
      </c>
      <c r="E71" s="53" t="s">
        <v>90</v>
      </c>
      <c r="F71" s="53" t="s">
        <v>91</v>
      </c>
      <c r="G71" s="54" t="s">
        <v>92</v>
      </c>
    </row>
    <row r="72" spans="1:19" ht="18.75" x14ac:dyDescent="0.35">
      <c r="A72" s="55" t="s">
        <v>103</v>
      </c>
      <c r="B72" s="56"/>
      <c r="C72" s="57">
        <f>ROUND(+C54-C66,0)</f>
        <v>2209329</v>
      </c>
      <c r="D72" s="57">
        <f>ROUND(+D54-D66,0)</f>
        <v>2256840</v>
      </c>
      <c r="E72" s="57">
        <f>ROUND(+E54-E66,0)</f>
        <v>2304955</v>
      </c>
      <c r="F72" s="57">
        <f>ROUND(+F54-F66,0)</f>
        <v>2353683</v>
      </c>
      <c r="G72" s="58">
        <f>ROUND(+G54-G66,0)</f>
        <v>2403029</v>
      </c>
    </row>
    <row r="73" spans="1:19" x14ac:dyDescent="0.25">
      <c r="A73" s="48" t="s">
        <v>99</v>
      </c>
      <c r="B73" s="59"/>
      <c r="C73" s="60">
        <f>ROUND(C72*'Value Calculator'!$B$33,0)</f>
        <v>618612</v>
      </c>
      <c r="D73" s="60">
        <f>ROUND(D72*'Value Calculator'!$B$33,0)</f>
        <v>631915</v>
      </c>
      <c r="E73" s="60">
        <f>ROUND(E72*'Value Calculator'!$B$33,0)</f>
        <v>645387</v>
      </c>
      <c r="F73" s="60">
        <f>ROUND(F72*'Value Calculator'!$B$33,0)</f>
        <v>659031</v>
      </c>
      <c r="G73" s="60">
        <f>ROUND(G72*'Value Calculator'!$B$33,0)</f>
        <v>672848</v>
      </c>
    </row>
    <row r="74" spans="1:19" x14ac:dyDescent="0.25">
      <c r="A74" s="48" t="s">
        <v>100</v>
      </c>
      <c r="B74" s="61">
        <f>ROUND(+B47-B59,0)</f>
        <v>-250000</v>
      </c>
      <c r="C74" s="62">
        <f>ROUND(+C72-C73,0)</f>
        <v>1590717</v>
      </c>
      <c r="D74" s="62">
        <f>ROUND(+D72-D73,0)</f>
        <v>1624925</v>
      </c>
      <c r="E74" s="62">
        <f>ROUND(+E72-E73,0)</f>
        <v>1659568</v>
      </c>
      <c r="F74" s="62">
        <f>ROUND(+F72-F73,0)</f>
        <v>1694652</v>
      </c>
      <c r="G74" s="63">
        <f>ROUND(+G72-G73,0)</f>
        <v>1730181</v>
      </c>
    </row>
    <row r="75" spans="1:19" ht="16.5" thickBot="1" x14ac:dyDescent="0.3">
      <c r="A75" s="64" t="s">
        <v>101</v>
      </c>
      <c r="B75" s="65">
        <f>ROUND(B74,0)</f>
        <v>-250000</v>
      </c>
      <c r="C75" s="66">
        <f>ROUND(+B75+C74,0)</f>
        <v>1340717</v>
      </c>
      <c r="D75" s="66">
        <f>ROUND(+C75+D74,0)</f>
        <v>2965642</v>
      </c>
      <c r="E75" s="66">
        <f>ROUND(+D75+E74,0)</f>
        <v>4625210</v>
      </c>
      <c r="F75" s="66">
        <f>ROUND(+E75+F74,0)</f>
        <v>6319862</v>
      </c>
      <c r="G75" s="67">
        <f>ROUND(+F75+G74,0)</f>
        <v>8050043</v>
      </c>
    </row>
    <row r="77" spans="1:19" ht="27" thickBot="1" x14ac:dyDescent="0.45">
      <c r="A77" s="73" t="str">
        <f>CONCATENATE("Solution 3 - ",'Value Calculator'!$E$2)</f>
        <v>Solution 3 - Impactor</v>
      </c>
      <c r="B77" s="73"/>
      <c r="C77" s="73"/>
      <c r="D77" s="73"/>
      <c r="E77" s="73"/>
      <c r="F77" s="73"/>
      <c r="G77" s="73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1:19" ht="17.25" thickTop="1" thickBot="1" x14ac:dyDescent="0.3">
      <c r="A78" s="91" t="str">
        <f>CONCATENATE("Five Year Analysis Summary for ",'Value Calculator'!$E$2," Upgrade")</f>
        <v>Five Year Analysis Summary for Impactor Upgrade</v>
      </c>
      <c r="B78" s="92"/>
      <c r="C78" s="92"/>
      <c r="D78" s="93"/>
      <c r="E78" s="3"/>
      <c r="F78" s="3"/>
      <c r="G78" s="5"/>
    </row>
    <row r="79" spans="1:19" ht="16.5" thickBot="1" x14ac:dyDescent="0.3">
      <c r="A79" s="6" t="s">
        <v>83</v>
      </c>
      <c r="B79" s="7" t="s">
        <v>84</v>
      </c>
      <c r="C79" s="94" t="s">
        <v>85</v>
      </c>
      <c r="D79" s="95"/>
      <c r="E79" s="3"/>
      <c r="F79" s="3"/>
      <c r="G79" s="3"/>
    </row>
    <row r="80" spans="1:19" ht="16.5" thickBot="1" x14ac:dyDescent="0.3">
      <c r="A80" s="8">
        <f>NPV('Value Calculator'!C108,C112,D112,E112,F112,G112)+B112</f>
        <v>13742606</v>
      </c>
      <c r="B80" s="9">
        <f>IRR(B112:G112,0.1)</f>
        <v>9.0251804712884187</v>
      </c>
      <c r="C80" s="10">
        <f>IF(C112-B112&gt;0,ROUNDUP((ABS(B112)/C112)*12,ROUNDUP((ABS(B112)/SUM(C112:D112))*24,1)))</f>
        <v>1.4000000000000001</v>
      </c>
      <c r="D80" s="11" t="s">
        <v>86</v>
      </c>
      <c r="E80" s="3"/>
      <c r="F80" s="3"/>
      <c r="G80" s="3"/>
    </row>
    <row r="81" spans="1:7" ht="17.25" thickTop="1" thickBot="1" x14ac:dyDescent="0.3">
      <c r="A81" s="12"/>
      <c r="B81" s="13"/>
      <c r="C81" s="14"/>
      <c r="D81" s="15"/>
      <c r="E81" s="3"/>
      <c r="F81" s="3"/>
      <c r="G81" s="3"/>
    </row>
    <row r="82" spans="1:7" x14ac:dyDescent="0.25">
      <c r="A82" s="96" t="s">
        <v>107</v>
      </c>
      <c r="B82" s="97"/>
      <c r="C82" s="97"/>
      <c r="D82" s="97"/>
      <c r="E82" s="97"/>
      <c r="F82" s="97"/>
      <c r="G82" s="98"/>
    </row>
    <row r="83" spans="1:7" ht="16.5" thickBot="1" x14ac:dyDescent="0.3">
      <c r="A83" s="16"/>
      <c r="B83" s="17"/>
      <c r="C83" s="17"/>
      <c r="D83" s="17"/>
      <c r="E83" s="17"/>
      <c r="F83" s="17"/>
      <c r="G83" s="18"/>
    </row>
    <row r="84" spans="1:7" ht="16.5" thickBot="1" x14ac:dyDescent="0.3">
      <c r="A84" s="16"/>
      <c r="B84" s="19" t="s">
        <v>87</v>
      </c>
      <c r="C84" s="20" t="s">
        <v>88</v>
      </c>
      <c r="D84" s="20" t="s">
        <v>89</v>
      </c>
      <c r="E84" s="20" t="s">
        <v>90</v>
      </c>
      <c r="F84" s="20" t="s">
        <v>91</v>
      </c>
      <c r="G84" s="21" t="s">
        <v>92</v>
      </c>
    </row>
    <row r="85" spans="1:7" x14ac:dyDescent="0.25">
      <c r="A85" s="22" t="s">
        <v>93</v>
      </c>
      <c r="B85" s="23">
        <f>ROUND(+'Value Calculator'!$B$39,0)</f>
        <v>0</v>
      </c>
      <c r="C85" s="24"/>
      <c r="D85" s="24"/>
      <c r="E85" s="24"/>
      <c r="F85" s="24"/>
      <c r="G85" s="25"/>
    </row>
    <row r="86" spans="1:7" x14ac:dyDescent="0.25">
      <c r="A86" s="22"/>
      <c r="B86" s="26"/>
      <c r="C86" s="24"/>
      <c r="D86" s="24"/>
      <c r="E86" s="24"/>
      <c r="F86" s="24"/>
      <c r="G86" s="25"/>
    </row>
    <row r="87" spans="1:7" x14ac:dyDescent="0.25">
      <c r="A87" s="83" t="s">
        <v>94</v>
      </c>
      <c r="B87" s="99"/>
      <c r="C87" s="24"/>
      <c r="D87" s="24"/>
      <c r="E87" s="24"/>
      <c r="F87" s="24"/>
      <c r="G87" s="25"/>
    </row>
    <row r="88" spans="1:7" x14ac:dyDescent="0.25">
      <c r="A88" s="83" t="s">
        <v>95</v>
      </c>
      <c r="B88" s="84"/>
      <c r="C88" s="43">
        <f>ROUND(-IPMT('Value Calculator'!$B$32,1,5,B85),0)</f>
        <v>0</v>
      </c>
      <c r="D88" s="44">
        <f>ROUND(C88*(1+'Value Calculator'!$B$34),0)</f>
        <v>0</v>
      </c>
      <c r="E88" s="44">
        <f>ROUND(D88*(1+'Value Calculator'!$B$34),0)</f>
        <v>0</v>
      </c>
      <c r="F88" s="44">
        <f>ROUND(E88*(1+'Value Calculator'!$B$34),0)</f>
        <v>0</v>
      </c>
      <c r="G88" s="44">
        <f>ROUND(F88*(1+'Value Calculator'!$B$34),0)</f>
        <v>0</v>
      </c>
    </row>
    <row r="89" spans="1:7" x14ac:dyDescent="0.25">
      <c r="A89" s="83" t="s">
        <v>106</v>
      </c>
      <c r="B89" s="84"/>
      <c r="C89" s="44">
        <f>ROUND(+'Value Calculator'!$B$38,0)</f>
        <v>7222222</v>
      </c>
      <c r="D89" s="44">
        <f>ROUND(C89*(1+'Value Calculator'!$B$34),0)</f>
        <v>7294444</v>
      </c>
      <c r="E89" s="44">
        <f>ROUND(D89*(1+'Value Calculator'!$B$34),0)</f>
        <v>7367388</v>
      </c>
      <c r="F89" s="44">
        <f>ROUND(E89*(1+'Value Calculator'!$B$34),0)</f>
        <v>7441062</v>
      </c>
      <c r="G89" s="44">
        <f>ROUND(F89*(1+'Value Calculator'!$B$34),0)</f>
        <v>7515473</v>
      </c>
    </row>
    <row r="90" spans="1:7" x14ac:dyDescent="0.25">
      <c r="A90" s="83" t="s">
        <v>96</v>
      </c>
      <c r="B90" s="84"/>
      <c r="C90" s="44">
        <f>ROUND('Value Calculator'!$B$37,0)</f>
        <v>120798</v>
      </c>
      <c r="D90" s="44">
        <f>ROUND(C90*(1+'Value Calculator'!$B$34),0)</f>
        <v>122006</v>
      </c>
      <c r="E90" s="44">
        <f>ROUND(D90*(1+'Value Calculator'!$B$34),0)</f>
        <v>123226</v>
      </c>
      <c r="F90" s="44">
        <f>ROUND(E90*(1+'Value Calculator'!$B$34),0)</f>
        <v>124458</v>
      </c>
      <c r="G90" s="44">
        <f>ROUND(F90*(1+'Value Calculator'!$B$34),0)</f>
        <v>125703</v>
      </c>
    </row>
    <row r="91" spans="1:7" x14ac:dyDescent="0.25">
      <c r="A91" s="85" t="s">
        <v>97</v>
      </c>
      <c r="B91" s="86"/>
      <c r="C91" s="45">
        <f>-ROUND(B85/5,0)</f>
        <v>0</v>
      </c>
      <c r="D91" s="45">
        <f>ROUND(C91,0)</f>
        <v>0</v>
      </c>
      <c r="E91" s="45">
        <f>ROUND(D91,0)</f>
        <v>0</v>
      </c>
      <c r="F91" s="45">
        <f>ROUND(E91,0)</f>
        <v>0</v>
      </c>
      <c r="G91" s="45">
        <f>ROUND(F91,0)</f>
        <v>0</v>
      </c>
    </row>
    <row r="92" spans="1:7" ht="16.5" thickBot="1" x14ac:dyDescent="0.3">
      <c r="A92" s="87" t="s">
        <v>98</v>
      </c>
      <c r="B92" s="88"/>
      <c r="C92" s="43">
        <f>ROUND(+C88+C89+C90+C91,0)</f>
        <v>7343020</v>
      </c>
      <c r="D92" s="43">
        <f>ROUND(+D88+D89+D90+D91,0)</f>
        <v>7416450</v>
      </c>
      <c r="E92" s="43">
        <f>ROUND(+E88+E89+E90+E91,0)</f>
        <v>7490614</v>
      </c>
      <c r="F92" s="43">
        <f>ROUND(+F88+F89+F90+F91,0)</f>
        <v>7565520</v>
      </c>
      <c r="G92" s="43">
        <f>ROUND(+G88+G89+G90+G91,0)</f>
        <v>7641176</v>
      </c>
    </row>
    <row r="93" spans="1:7" x14ac:dyDescent="0.25">
      <c r="A93" s="27"/>
      <c r="B93" s="28"/>
      <c r="C93" s="28"/>
      <c r="D93" s="28"/>
      <c r="E93" s="28"/>
      <c r="F93" s="28"/>
      <c r="G93" s="28"/>
    </row>
    <row r="94" spans="1:7" x14ac:dyDescent="0.25">
      <c r="A94" s="89" t="str">
        <f>CONCATENATE("Summary of ",'Value Calculator'!$E$2," Installation")</f>
        <v>Summary of Impactor Installation</v>
      </c>
      <c r="B94" s="89"/>
      <c r="C94" s="89"/>
      <c r="D94" s="89"/>
      <c r="E94" s="89"/>
      <c r="F94" s="89"/>
      <c r="G94" s="89"/>
    </row>
    <row r="95" spans="1:7" ht="16.5" thickBot="1" x14ac:dyDescent="0.3">
      <c r="A95" s="30"/>
      <c r="B95" s="29"/>
      <c r="C95" s="29"/>
      <c r="D95" s="29"/>
      <c r="E95" s="29"/>
      <c r="F95" s="29"/>
      <c r="G95" s="68"/>
    </row>
    <row r="96" spans="1:7" ht="16.5" thickBot="1" x14ac:dyDescent="0.3">
      <c r="A96" s="30"/>
      <c r="B96" s="31" t="s">
        <v>87</v>
      </c>
      <c r="C96" s="32" t="s">
        <v>88</v>
      </c>
      <c r="D96" s="32" t="s">
        <v>89</v>
      </c>
      <c r="E96" s="32" t="s">
        <v>90</v>
      </c>
      <c r="F96" s="32" t="s">
        <v>91</v>
      </c>
      <c r="G96" s="33" t="s">
        <v>92</v>
      </c>
    </row>
    <row r="97" spans="1:7" x14ac:dyDescent="0.25">
      <c r="A97" s="34" t="s">
        <v>93</v>
      </c>
      <c r="B97" s="35">
        <f>ROUND('Value Calculator'!$E$39,0)</f>
        <v>300000</v>
      </c>
      <c r="C97" s="36"/>
      <c r="D97" s="36"/>
      <c r="E97" s="36"/>
      <c r="F97" s="36"/>
      <c r="G97" s="37"/>
    </row>
    <row r="98" spans="1:7" x14ac:dyDescent="0.25">
      <c r="A98" s="34"/>
      <c r="B98" s="38"/>
      <c r="C98" s="39"/>
      <c r="D98" s="39"/>
      <c r="E98" s="39"/>
      <c r="F98" s="39"/>
      <c r="G98" s="40"/>
    </row>
    <row r="99" spans="1:7" x14ac:dyDescent="0.25">
      <c r="A99" s="74" t="s">
        <v>94</v>
      </c>
      <c r="B99" s="90"/>
      <c r="C99" s="39"/>
      <c r="D99" s="39"/>
      <c r="E99" s="39"/>
      <c r="F99" s="39"/>
      <c r="G99" s="40"/>
    </row>
    <row r="100" spans="1:7" x14ac:dyDescent="0.25">
      <c r="A100" s="74" t="s">
        <v>95</v>
      </c>
      <c r="B100" s="75"/>
      <c r="C100" s="41">
        <f>ROUND(-IPMT('Value Calculator'!$B$32,1,5,B97),0)</f>
        <v>30000</v>
      </c>
      <c r="D100" s="42">
        <f>ROUND(C100*(1+'Value Calculator'!$E$35),0)</f>
        <v>30000</v>
      </c>
      <c r="E100" s="42">
        <f>ROUND(D100*(1+'Value Calculator'!$E$35),0)</f>
        <v>30000</v>
      </c>
      <c r="F100" s="42">
        <f>ROUND(E100*(1+'Value Calculator'!$E$35),0)</f>
        <v>30000</v>
      </c>
      <c r="G100" s="42">
        <f>ROUND(F100*(1+'Value Calculator'!$E$35),0)</f>
        <v>30000</v>
      </c>
    </row>
    <row r="101" spans="1:7" x14ac:dyDescent="0.25">
      <c r="A101" s="74" t="s">
        <v>106</v>
      </c>
      <c r="B101" s="75"/>
      <c r="C101" s="42">
        <f>ROUND(+'Value Calculator'!$E$38,0)</f>
        <v>3421053</v>
      </c>
      <c r="D101" s="42">
        <f>ROUND(C101*(1+'Value Calculator'!$E$35),0)</f>
        <v>3421053</v>
      </c>
      <c r="E101" s="42">
        <f>ROUND(D101*(1+'Value Calculator'!$E$35),0)</f>
        <v>3421053</v>
      </c>
      <c r="F101" s="42">
        <f>ROUND(E101*(1+'Value Calculator'!$E$35),0)</f>
        <v>3421053</v>
      </c>
      <c r="G101" s="42">
        <f>ROUND(F101*(1+'Value Calculator'!$E$35),0)</f>
        <v>3421053</v>
      </c>
    </row>
    <row r="102" spans="1:7" x14ac:dyDescent="0.25">
      <c r="A102" s="74" t="s">
        <v>96</v>
      </c>
      <c r="B102" s="75"/>
      <c r="C102" s="42">
        <f>ROUND(+'Value Calculator'!$E$37,0)</f>
        <v>199579</v>
      </c>
      <c r="D102" s="42">
        <f>ROUND(C102*(1+'Value Calculator'!$E$35),0)</f>
        <v>199579</v>
      </c>
      <c r="E102" s="42">
        <f>ROUND(D102*(1+'Value Calculator'!$E$35),0)</f>
        <v>199579</v>
      </c>
      <c r="F102" s="42">
        <f>ROUND(E102*(1+'Value Calculator'!$E$35),0)</f>
        <v>199579</v>
      </c>
      <c r="G102" s="42">
        <f>ROUND(F102*(1+'Value Calculator'!$E$35),0)</f>
        <v>199579</v>
      </c>
    </row>
    <row r="103" spans="1:7" x14ac:dyDescent="0.25">
      <c r="A103" s="76" t="s">
        <v>97</v>
      </c>
      <c r="B103" s="77"/>
      <c r="C103" s="46">
        <f>-ROUND(B97/5,0)</f>
        <v>-60000</v>
      </c>
      <c r="D103" s="46">
        <f>ROUND(C103,0)</f>
        <v>-60000</v>
      </c>
      <c r="E103" s="46">
        <f>ROUND(D103,0)</f>
        <v>-60000</v>
      </c>
      <c r="F103" s="46">
        <f>ROUND(E103,0)</f>
        <v>-60000</v>
      </c>
      <c r="G103" s="46">
        <f>ROUND(F103,0)</f>
        <v>-60000</v>
      </c>
    </row>
    <row r="104" spans="1:7" ht="16.5" thickBot="1" x14ac:dyDescent="0.3">
      <c r="A104" s="78" t="s">
        <v>98</v>
      </c>
      <c r="B104" s="79"/>
      <c r="C104" s="41">
        <f>ROUND(+C100+C101+C102+C103,0)</f>
        <v>3590632</v>
      </c>
      <c r="D104" s="41">
        <f>ROUND(+D100+D101+D102+D103,0)</f>
        <v>3590632</v>
      </c>
      <c r="E104" s="41">
        <f>ROUND(+E100+E101+E102+E103,0)</f>
        <v>3590632</v>
      </c>
      <c r="F104" s="41">
        <f>ROUND(+F100+F101+F102+F103,0)</f>
        <v>3590632</v>
      </c>
      <c r="G104" s="41">
        <f>ROUND(+G100+G101+G102+G103,0)</f>
        <v>3590632</v>
      </c>
    </row>
    <row r="105" spans="1:7" ht="16.5" thickBot="1" x14ac:dyDescent="0.3">
      <c r="A105" s="47"/>
      <c r="B105" s="28"/>
      <c r="C105" s="28"/>
      <c r="D105" s="28"/>
      <c r="E105" s="28"/>
      <c r="F105" s="28"/>
      <c r="G105" s="28"/>
    </row>
    <row r="106" spans="1:7" x14ac:dyDescent="0.25">
      <c r="A106" s="80" t="str">
        <f>CONCATENATE("Recapitulation Cost Comparison of ",'Value Calculator'!$E$2," vs Current Installation")</f>
        <v>Recapitulation Cost Comparison of Impactor vs Current Installation</v>
      </c>
      <c r="B106" s="81"/>
      <c r="C106" s="81"/>
      <c r="D106" s="81"/>
      <c r="E106" s="81"/>
      <c r="F106" s="81"/>
      <c r="G106" s="82"/>
    </row>
    <row r="107" spans="1:7" ht="18.75" x14ac:dyDescent="0.35">
      <c r="A107" s="70" t="s">
        <v>102</v>
      </c>
      <c r="B107" s="71"/>
      <c r="C107" s="71"/>
      <c r="D107" s="71"/>
      <c r="E107" s="71"/>
      <c r="F107" s="71"/>
      <c r="G107" s="72"/>
    </row>
    <row r="108" spans="1:7" ht="16.5" thickBot="1" x14ac:dyDescent="0.3">
      <c r="A108" s="48"/>
      <c r="B108" s="49"/>
      <c r="C108" s="49"/>
      <c r="D108" s="49"/>
      <c r="E108" s="49"/>
      <c r="F108" s="49"/>
      <c r="G108" s="50"/>
    </row>
    <row r="109" spans="1:7" ht="16.5" thickBot="1" x14ac:dyDescent="0.3">
      <c r="A109" s="51"/>
      <c r="B109" s="52" t="s">
        <v>87</v>
      </c>
      <c r="C109" s="53" t="s">
        <v>88</v>
      </c>
      <c r="D109" s="53" t="s">
        <v>89</v>
      </c>
      <c r="E109" s="53" t="s">
        <v>90</v>
      </c>
      <c r="F109" s="53" t="s">
        <v>91</v>
      </c>
      <c r="G109" s="54" t="s">
        <v>92</v>
      </c>
    </row>
    <row r="110" spans="1:7" ht="18.75" x14ac:dyDescent="0.35">
      <c r="A110" s="55" t="s">
        <v>103</v>
      </c>
      <c r="B110" s="56"/>
      <c r="C110" s="57">
        <f>ROUND(+C92-C104,0)</f>
        <v>3752388</v>
      </c>
      <c r="D110" s="57">
        <f>ROUND(+D92-D104,0)</f>
        <v>3825818</v>
      </c>
      <c r="E110" s="57">
        <f>ROUND(+E92-E104,0)</f>
        <v>3899982</v>
      </c>
      <c r="F110" s="57">
        <f>ROUND(+F92-F104,0)</f>
        <v>3974888</v>
      </c>
      <c r="G110" s="58">
        <f>ROUND(+G92-G104,0)</f>
        <v>4050544</v>
      </c>
    </row>
    <row r="111" spans="1:7" x14ac:dyDescent="0.25">
      <c r="A111" s="48" t="s">
        <v>99</v>
      </c>
      <c r="B111" s="59"/>
      <c r="C111" s="60">
        <f>ROUND(C110*'Value Calculator'!$B$33,0)</f>
        <v>1050669</v>
      </c>
      <c r="D111" s="60">
        <f>ROUND(D110*'Value Calculator'!$B$33,0)</f>
        <v>1071229</v>
      </c>
      <c r="E111" s="60">
        <f>ROUND(E110*'Value Calculator'!$B$33,0)</f>
        <v>1091995</v>
      </c>
      <c r="F111" s="60">
        <f>ROUND(F110*'Value Calculator'!$B$33,0)</f>
        <v>1112969</v>
      </c>
      <c r="G111" s="60">
        <f>ROUND(G110*'Value Calculator'!$B$33,0)</f>
        <v>1134152</v>
      </c>
    </row>
    <row r="112" spans="1:7" x14ac:dyDescent="0.25">
      <c r="A112" s="48" t="s">
        <v>100</v>
      </c>
      <c r="B112" s="61">
        <f>ROUND(+B85-B97,0)</f>
        <v>-300000</v>
      </c>
      <c r="C112" s="62">
        <f>ROUND(+C110-C111,0)</f>
        <v>2701719</v>
      </c>
      <c r="D112" s="62">
        <f>ROUND(+D110-D111,0)</f>
        <v>2754589</v>
      </c>
      <c r="E112" s="62">
        <f>ROUND(+E110-E111,0)</f>
        <v>2807987</v>
      </c>
      <c r="F112" s="62">
        <f>ROUND(+F110-F111,0)</f>
        <v>2861919</v>
      </c>
      <c r="G112" s="63">
        <f>ROUND(+G110-G111,0)</f>
        <v>2916392</v>
      </c>
    </row>
    <row r="113" spans="1:7" ht="16.5" thickBot="1" x14ac:dyDescent="0.3">
      <c r="A113" s="64" t="s">
        <v>101</v>
      </c>
      <c r="B113" s="65">
        <f>ROUND(B112,0)</f>
        <v>-300000</v>
      </c>
      <c r="C113" s="66">
        <f>ROUND(+B113+C112,0)</f>
        <v>2401719</v>
      </c>
      <c r="D113" s="66">
        <f>ROUND(+C113+D112,0)</f>
        <v>5156308</v>
      </c>
      <c r="E113" s="66">
        <f>ROUND(+D113+E112,0)</f>
        <v>7964295</v>
      </c>
      <c r="F113" s="66">
        <f>ROUND(+E113+F112,0)</f>
        <v>10826214</v>
      </c>
      <c r="G113" s="67">
        <f>ROUND(+F113+G112,0)</f>
        <v>13742606</v>
      </c>
    </row>
  </sheetData>
  <mergeCells count="57">
    <mergeCell ref="A23:B23"/>
    <mergeCell ref="A24:B24"/>
    <mergeCell ref="A11:B11"/>
    <mergeCell ref="A12:B12"/>
    <mergeCell ref="A13:B13"/>
    <mergeCell ref="A53:B53"/>
    <mergeCell ref="A40:D40"/>
    <mergeCell ref="C41:D41"/>
    <mergeCell ref="A2:D2"/>
    <mergeCell ref="A30:G30"/>
    <mergeCell ref="A6:G6"/>
    <mergeCell ref="A18:G18"/>
    <mergeCell ref="A31:G31"/>
    <mergeCell ref="A25:B25"/>
    <mergeCell ref="A26:B26"/>
    <mergeCell ref="A27:B27"/>
    <mergeCell ref="A28:B28"/>
    <mergeCell ref="C3:D3"/>
    <mergeCell ref="A14:B14"/>
    <mergeCell ref="A15:B15"/>
    <mergeCell ref="A16:B16"/>
    <mergeCell ref="A44:G44"/>
    <mergeCell ref="A49:B49"/>
    <mergeCell ref="A50:B50"/>
    <mergeCell ref="A51:B51"/>
    <mergeCell ref="A52:B52"/>
    <mergeCell ref="A65:B65"/>
    <mergeCell ref="A66:B66"/>
    <mergeCell ref="A68:G68"/>
    <mergeCell ref="A69:G69"/>
    <mergeCell ref="A54:B54"/>
    <mergeCell ref="A56:G56"/>
    <mergeCell ref="A61:B61"/>
    <mergeCell ref="A62:B62"/>
    <mergeCell ref="A63:B63"/>
    <mergeCell ref="A64:B64"/>
    <mergeCell ref="A78:D78"/>
    <mergeCell ref="C79:D79"/>
    <mergeCell ref="A82:G82"/>
    <mergeCell ref="A87:B87"/>
    <mergeCell ref="A88:B88"/>
    <mergeCell ref="A107:G107"/>
    <mergeCell ref="A1:G1"/>
    <mergeCell ref="A39:G39"/>
    <mergeCell ref="A77:G77"/>
    <mergeCell ref="A100:B100"/>
    <mergeCell ref="A101:B101"/>
    <mergeCell ref="A102:B102"/>
    <mergeCell ref="A103:B103"/>
    <mergeCell ref="A104:B104"/>
    <mergeCell ref="A106:G106"/>
    <mergeCell ref="A89:B89"/>
    <mergeCell ref="A90:B90"/>
    <mergeCell ref="A91:B91"/>
    <mergeCell ref="A92:B92"/>
    <mergeCell ref="A94:G94"/>
    <mergeCell ref="A99:B9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workbookViewId="0">
      <selection activeCell="C22" sqref="C22"/>
    </sheetView>
  </sheetViews>
  <sheetFormatPr defaultRowHeight="15" x14ac:dyDescent="0.25"/>
  <cols>
    <col min="1" max="1" width="48.85546875" bestFit="1" customWidth="1"/>
    <col min="2" max="2" width="9.42578125" customWidth="1"/>
  </cols>
  <sheetData>
    <row r="1" spans="1:3" ht="15.75" x14ac:dyDescent="0.3">
      <c r="A1" s="120" t="s">
        <v>27</v>
      </c>
      <c r="B1" s="121" t="s">
        <v>17</v>
      </c>
      <c r="C1" s="121" t="s">
        <v>18</v>
      </c>
    </row>
    <row r="2" spans="1:3" ht="15.75" x14ac:dyDescent="0.3">
      <c r="A2" s="122" t="s">
        <v>20</v>
      </c>
      <c r="B2" s="102">
        <v>100</v>
      </c>
      <c r="C2" s="102">
        <v>100</v>
      </c>
    </row>
    <row r="3" spans="1:3" ht="15.75" x14ac:dyDescent="0.3">
      <c r="A3" s="122" t="s">
        <v>21</v>
      </c>
      <c r="B3" s="102" t="s">
        <v>19</v>
      </c>
      <c r="C3" s="102" t="s">
        <v>14</v>
      </c>
    </row>
    <row r="4" spans="1:3" ht="15.75" x14ac:dyDescent="0.3">
      <c r="A4" s="122" t="s">
        <v>15</v>
      </c>
      <c r="B4" s="107">
        <v>0.9</v>
      </c>
      <c r="C4" s="107">
        <v>0.9</v>
      </c>
    </row>
    <row r="5" spans="1:3" ht="15.75" x14ac:dyDescent="0.3">
      <c r="A5" s="122" t="s">
        <v>16</v>
      </c>
      <c r="B5" s="107">
        <v>0.2</v>
      </c>
      <c r="C5" s="107">
        <v>0.2</v>
      </c>
    </row>
    <row r="6" spans="1:3" ht="15.75" x14ac:dyDescent="0.3">
      <c r="A6" s="100"/>
      <c r="B6" s="100"/>
      <c r="C6" s="100"/>
    </row>
    <row r="7" spans="1:3" ht="15.75" x14ac:dyDescent="0.3">
      <c r="A7" s="123" t="s">
        <v>26</v>
      </c>
      <c r="B7" s="121" t="s">
        <v>17</v>
      </c>
      <c r="C7" s="121" t="s">
        <v>18</v>
      </c>
    </row>
    <row r="8" spans="1:3" ht="15.75" x14ac:dyDescent="0.3">
      <c r="A8" s="122" t="s">
        <v>22</v>
      </c>
      <c r="B8" s="112">
        <f>B4-B5</f>
        <v>0.7</v>
      </c>
      <c r="C8" s="112">
        <f>C4-C5</f>
        <v>0.7</v>
      </c>
    </row>
    <row r="9" spans="1:3" ht="15.75" x14ac:dyDescent="0.3">
      <c r="A9" s="122" t="s">
        <v>23</v>
      </c>
      <c r="B9" s="124">
        <f>B8/B4</f>
        <v>0.77777777777777768</v>
      </c>
      <c r="C9" s="124">
        <f>C8/C4</f>
        <v>0.77777777777777768</v>
      </c>
    </row>
    <row r="10" spans="1:3" ht="15.75" x14ac:dyDescent="0.3">
      <c r="A10" s="122" t="s">
        <v>24</v>
      </c>
      <c r="B10" s="125">
        <f>B5/B4</f>
        <v>0.22222222222222224</v>
      </c>
      <c r="C10" s="125">
        <f>C5/C4</f>
        <v>0.22222222222222224</v>
      </c>
    </row>
    <row r="11" spans="1:3" ht="15.75" x14ac:dyDescent="0.3">
      <c r="A11" s="122" t="s">
        <v>25</v>
      </c>
      <c r="B11" s="114">
        <f>(B2/B4)*1.1</f>
        <v>122.22222222222223</v>
      </c>
      <c r="C11" s="114">
        <f>(C2/C4)*1.1</f>
        <v>122.22222222222223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workbookViewId="0">
      <selection activeCell="H12" sqref="H12"/>
    </sheetView>
  </sheetViews>
  <sheetFormatPr defaultRowHeight="15" x14ac:dyDescent="0.25"/>
  <cols>
    <col min="1" max="1" width="36.140625" customWidth="1"/>
    <col min="2" max="3" width="9.42578125" bestFit="1" customWidth="1"/>
    <col min="4" max="4" width="10.7109375" bestFit="1" customWidth="1"/>
  </cols>
  <sheetData>
    <row r="1" spans="1:4" ht="15.75" x14ac:dyDescent="0.3">
      <c r="A1" s="100"/>
      <c r="B1" s="176" t="s">
        <v>46</v>
      </c>
      <c r="C1" s="176"/>
      <c r="D1" s="176"/>
    </row>
    <row r="2" spans="1:4" ht="31.5" x14ac:dyDescent="0.3">
      <c r="A2" s="177" t="s">
        <v>47</v>
      </c>
      <c r="B2" s="178" t="s">
        <v>48</v>
      </c>
      <c r="C2" s="178" t="s">
        <v>49</v>
      </c>
      <c r="D2" s="178" t="s">
        <v>50</v>
      </c>
    </row>
    <row r="3" spans="1:4" ht="15.75" x14ac:dyDescent="0.3">
      <c r="A3" s="179" t="s">
        <v>51</v>
      </c>
      <c r="B3" s="180">
        <v>0</v>
      </c>
      <c r="C3" s="180">
        <v>0</v>
      </c>
      <c r="D3" s="180">
        <v>0</v>
      </c>
    </row>
    <row r="4" spans="1:4" ht="15.75" x14ac:dyDescent="0.3">
      <c r="A4" s="181" t="s">
        <v>52</v>
      </c>
      <c r="B4" s="182">
        <v>15000</v>
      </c>
      <c r="C4" s="182">
        <v>37500</v>
      </c>
      <c r="D4" s="182">
        <v>55000</v>
      </c>
    </row>
    <row r="5" spans="1:4" ht="15.75" x14ac:dyDescent="0.3">
      <c r="A5" s="181" t="s">
        <v>53</v>
      </c>
      <c r="B5" s="180">
        <v>22500</v>
      </c>
      <c r="C5" s="180">
        <v>33750</v>
      </c>
      <c r="D5" s="180">
        <v>112500</v>
      </c>
    </row>
    <row r="6" spans="1:4" ht="15.75" x14ac:dyDescent="0.3">
      <c r="A6" s="181" t="s">
        <v>54</v>
      </c>
      <c r="B6" s="182">
        <v>3000</v>
      </c>
      <c r="C6" s="182">
        <v>20000</v>
      </c>
      <c r="D6" s="182">
        <v>50000</v>
      </c>
    </row>
    <row r="7" spans="1:4" ht="15.75" x14ac:dyDescent="0.3">
      <c r="A7" s="181" t="s">
        <v>55</v>
      </c>
      <c r="B7" s="182">
        <v>30000</v>
      </c>
      <c r="C7" s="182">
        <v>45000</v>
      </c>
      <c r="D7" s="182">
        <v>150000</v>
      </c>
    </row>
    <row r="8" spans="1:4" ht="15.75" x14ac:dyDescent="0.3">
      <c r="A8" s="181" t="s">
        <v>56</v>
      </c>
      <c r="B8" s="182">
        <v>30000</v>
      </c>
      <c r="C8" s="182">
        <v>45000</v>
      </c>
      <c r="D8" s="182">
        <v>150000</v>
      </c>
    </row>
    <row r="9" spans="1:4" ht="15.75" x14ac:dyDescent="0.3">
      <c r="A9" s="181" t="s">
        <v>57</v>
      </c>
      <c r="B9" s="182">
        <v>2000</v>
      </c>
      <c r="C9" s="182">
        <v>7000</v>
      </c>
      <c r="D9" s="182">
        <v>12000</v>
      </c>
    </row>
    <row r="10" spans="1:4" ht="15.75" x14ac:dyDescent="0.3">
      <c r="A10" s="181" t="s">
        <v>58</v>
      </c>
      <c r="B10" s="182">
        <v>2100</v>
      </c>
      <c r="C10" s="182">
        <v>2600</v>
      </c>
      <c r="D10" s="182">
        <v>3100</v>
      </c>
    </row>
    <row r="11" spans="1:4" ht="15.75" x14ac:dyDescent="0.3">
      <c r="A11" s="181" t="s">
        <v>59</v>
      </c>
      <c r="B11" s="182">
        <v>2100</v>
      </c>
      <c r="C11" s="182">
        <v>2600</v>
      </c>
      <c r="D11" s="182">
        <v>3100</v>
      </c>
    </row>
    <row r="12" spans="1:4" ht="15.75" x14ac:dyDescent="0.3">
      <c r="A12" s="181" t="s">
        <v>60</v>
      </c>
      <c r="B12" s="182">
        <v>12000</v>
      </c>
      <c r="C12" s="182">
        <v>25000</v>
      </c>
      <c r="D12" s="182">
        <v>50000</v>
      </c>
    </row>
    <row r="13" spans="1:4" ht="15.75" x14ac:dyDescent="0.3">
      <c r="A13" s="181" t="s">
        <v>61</v>
      </c>
      <c r="B13" s="182">
        <v>12000</v>
      </c>
      <c r="C13" s="182">
        <v>25000</v>
      </c>
      <c r="D13" s="182">
        <v>50000</v>
      </c>
    </row>
    <row r="14" spans="1:4" ht="15.75" x14ac:dyDescent="0.3">
      <c r="A14" s="181" t="s">
        <v>62</v>
      </c>
      <c r="B14" s="183">
        <v>2000</v>
      </c>
      <c r="C14" s="183">
        <v>5000</v>
      </c>
      <c r="D14" s="183">
        <v>15000</v>
      </c>
    </row>
    <row r="15" spans="1:4" ht="15.75" x14ac:dyDescent="0.3">
      <c r="A15" s="181" t="s">
        <v>63</v>
      </c>
      <c r="B15" s="183">
        <v>2000</v>
      </c>
      <c r="C15" s="183">
        <v>5000</v>
      </c>
      <c r="D15" s="183">
        <v>10000</v>
      </c>
    </row>
    <row r="16" spans="1:4" ht="15.75" x14ac:dyDescent="0.3">
      <c r="A16" s="181" t="s">
        <v>64</v>
      </c>
      <c r="B16" s="183">
        <v>2000</v>
      </c>
      <c r="C16" s="183">
        <v>10000</v>
      </c>
      <c r="D16" s="183">
        <v>20000</v>
      </c>
    </row>
    <row r="17" spans="1:4" ht="15.75" x14ac:dyDescent="0.3">
      <c r="A17" s="181" t="s">
        <v>65</v>
      </c>
      <c r="B17" s="183">
        <v>5000</v>
      </c>
      <c r="C17" s="183">
        <v>7500</v>
      </c>
      <c r="D17" s="183">
        <v>10000</v>
      </c>
    </row>
    <row r="18" spans="1:4" ht="15.75" x14ac:dyDescent="0.3">
      <c r="A18" s="179" t="s">
        <v>66</v>
      </c>
      <c r="B18" s="180">
        <v>4000</v>
      </c>
      <c r="C18" s="180">
        <v>4500</v>
      </c>
      <c r="D18" s="180">
        <v>5000</v>
      </c>
    </row>
    <row r="19" spans="1:4" ht="15.75" x14ac:dyDescent="0.3">
      <c r="A19" s="181" t="s">
        <v>67</v>
      </c>
      <c r="B19" s="183">
        <v>10000</v>
      </c>
      <c r="C19" s="183">
        <v>35000</v>
      </c>
      <c r="D19" s="183">
        <v>60000</v>
      </c>
    </row>
    <row r="20" spans="1:4" ht="15.75" x14ac:dyDescent="0.3">
      <c r="A20" s="181" t="s">
        <v>68</v>
      </c>
      <c r="B20" s="183">
        <v>2000</v>
      </c>
      <c r="C20" s="183">
        <v>2000</v>
      </c>
      <c r="D20" s="183">
        <v>2000</v>
      </c>
    </row>
    <row r="21" spans="1:4" ht="15.75" x14ac:dyDescent="0.3">
      <c r="A21" s="181" t="s">
        <v>69</v>
      </c>
      <c r="B21" s="183"/>
      <c r="C21" s="183"/>
      <c r="D21" s="183"/>
    </row>
    <row r="22" spans="1:4" ht="15.75" x14ac:dyDescent="0.3">
      <c r="A22" s="184" t="s">
        <v>70</v>
      </c>
      <c r="B22" s="183">
        <v>2000</v>
      </c>
      <c r="C22" s="183">
        <v>5000</v>
      </c>
      <c r="D22" s="183">
        <v>10000</v>
      </c>
    </row>
    <row r="23" spans="1:4" ht="15.75" x14ac:dyDescent="0.3">
      <c r="A23" s="184" t="s">
        <v>71</v>
      </c>
      <c r="B23" s="183">
        <v>10000</v>
      </c>
      <c r="C23" s="183">
        <v>25000</v>
      </c>
      <c r="D23" s="183">
        <v>35000</v>
      </c>
    </row>
    <row r="24" spans="1:4" ht="15.75" x14ac:dyDescent="0.3">
      <c r="A24" s="184" t="s">
        <v>72</v>
      </c>
      <c r="B24" s="183">
        <v>4000</v>
      </c>
      <c r="C24" s="183">
        <v>7000</v>
      </c>
      <c r="D24" s="183">
        <v>10000</v>
      </c>
    </row>
    <row r="25" spans="1:4" ht="15.75" x14ac:dyDescent="0.3">
      <c r="A25" s="184" t="s">
        <v>73</v>
      </c>
      <c r="B25" s="183">
        <v>10000</v>
      </c>
      <c r="C25" s="183">
        <v>15000</v>
      </c>
      <c r="D25" s="183">
        <v>20000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Value Calculator</vt:lpstr>
      <vt:lpstr>Financial Details</vt:lpstr>
      <vt:lpstr>Recirculating Load Calculator</vt:lpstr>
      <vt:lpstr>Product Type and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Matt</dc:creator>
  <cp:lastModifiedBy>Elise Stieferman</cp:lastModifiedBy>
  <dcterms:created xsi:type="dcterms:W3CDTF">2019-07-05T18:48:33Z</dcterms:created>
  <dcterms:modified xsi:type="dcterms:W3CDTF">2019-08-27T19:38:25Z</dcterms:modified>
</cp:coreProperties>
</file>